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Y:\Shared\EPR Folder\MI\MiSQT v1_FINAL\"/>
    </mc:Choice>
  </mc:AlternateContent>
  <xr:revisionPtr revIDLastSave="0" documentId="13_ncr:1_{637C7B1B-EBC3-448C-A502-AFE6BFCA4880}" xr6:coauthVersionLast="45" xr6:coauthVersionMax="45" xr10:uidLastSave="{00000000-0000-0000-0000-000000000000}"/>
  <bookViews>
    <workbookView xWindow="29910" yWindow="990" windowWidth="21600" windowHeight="11250" tabRatio="714" firstSheet="2" activeTab="3" xr2:uid="{F5FF4C9F-7059-452C-9848-0F527F6DE855}"/>
  </bookViews>
  <sheets>
    <sheet name="Project Assessment" sheetId="10" r:id="rId1"/>
    <sheet name="Catchment Assessment" sheetId="11" r:id="rId2"/>
    <sheet name="Parameter Selection Guide" sheetId="12" r:id="rId3"/>
    <sheet name="Quantification Tool" sheetId="2" r:id="rId4"/>
    <sheet name="Monitoring Data" sheetId="13" r:id="rId5"/>
    <sheet name="Data Summary" sheetId="14" r:id="rId6"/>
    <sheet name="Reference Standards" sheetId="1" r:id="rId7"/>
    <sheet name="Pull Down Notes" sheetId="3" state="hidden" r:id="rId8"/>
  </sheets>
  <definedNames>
    <definedName name="BedMaterial">'Pull Down Notes'!$B$25:$B$31</definedName>
    <definedName name="BedType">'Pull Down Notes'!#REF!</definedName>
    <definedName name="BEHI.NBS">'Pull Down Notes'!$B$39:$B$75</definedName>
    <definedName name="CatchmentAssessment">'Pull Down Notes'!$B$105:$B$107</definedName>
    <definedName name="CatchmentAssessmentQuat">'Pull Down Notes'!#REF!</definedName>
    <definedName name="DrainageArea">'Pull Down Notes'!#REF!</definedName>
    <definedName name="Flow.Type">'Pull Down Notes'!$B$33:$B$36</definedName>
    <definedName name="Level">'Pull Down Notes'!$B$76:$B$78</definedName>
    <definedName name="_xlnm.Print_Area" localSheetId="1">'Catchment Assessment'!$A$1:$H$22</definedName>
    <definedName name="_xlnm.Print_Area" localSheetId="4">'Monitoring Data'!$A$1:$J$307</definedName>
    <definedName name="_xlnm.Print_Area" localSheetId="0">'Project Assessment'!$A$1:$X$44</definedName>
    <definedName name="_xlnm.Print_Area" localSheetId="3">'Quantification Tool'!$A$1:$K$152</definedName>
    <definedName name="ProgramGoals">'Pull Down Notes'!$B$92:$B$96</definedName>
    <definedName name="Region">'Pull Down Notes'!$B$80:$B$85</definedName>
    <definedName name="RiverBasins">'Pull Down Notes'!#REF!</definedName>
    <definedName name="StreamType">'Pull Down Notes'!$B$1:$B$9</definedName>
    <definedName name="WaterTypes">'Pull Down Notes'!$B$98:$B$102</definedName>
    <definedName name="Yes.No">'Pull Down Notes'!$B$88:$B$89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2" l="1"/>
  <c r="F15" i="2"/>
  <c r="F76" i="2" l="1"/>
  <c r="F85" i="2" l="1"/>
  <c r="F57" i="2"/>
  <c r="F300" i="13"/>
  <c r="F272" i="13"/>
  <c r="F244" i="13"/>
  <c r="F216" i="13"/>
  <c r="F188" i="13"/>
  <c r="F160" i="13"/>
  <c r="F132" i="13"/>
  <c r="F20" i="13"/>
  <c r="F48" i="13"/>
  <c r="F76" i="13"/>
  <c r="F104" i="13"/>
  <c r="F296" i="13" l="1"/>
  <c r="F268" i="13"/>
  <c r="F240" i="13"/>
  <c r="F212" i="13"/>
  <c r="F184" i="13"/>
  <c r="F156" i="13"/>
  <c r="F128" i="13"/>
  <c r="F100" i="13"/>
  <c r="F72" i="13"/>
  <c r="F44" i="13"/>
  <c r="F16" i="13"/>
  <c r="F81" i="2"/>
  <c r="F53" i="2"/>
  <c r="F90" i="2"/>
  <c r="F88" i="2"/>
  <c r="F87" i="2"/>
  <c r="F86" i="2"/>
  <c r="F84" i="2"/>
  <c r="F83" i="2"/>
  <c r="F82" i="2"/>
  <c r="F80" i="2"/>
  <c r="F79" i="2"/>
  <c r="F78" i="2"/>
  <c r="F77" i="2"/>
  <c r="F75" i="2"/>
  <c r="F74" i="2"/>
  <c r="F73" i="2"/>
  <c r="F72" i="2"/>
  <c r="F71" i="2"/>
  <c r="F70" i="2"/>
  <c r="F69" i="2"/>
  <c r="F68" i="2"/>
  <c r="B117" i="2" l="1"/>
  <c r="B4" i="2" l="1"/>
  <c r="B3" i="2"/>
  <c r="F306" i="13" l="1"/>
  <c r="F305" i="13"/>
  <c r="F304" i="13"/>
  <c r="F303" i="13"/>
  <c r="F302" i="13"/>
  <c r="F301" i="13"/>
  <c r="F299" i="13"/>
  <c r="F298" i="13"/>
  <c r="F297" i="13"/>
  <c r="F295" i="13"/>
  <c r="F294" i="13"/>
  <c r="F293" i="13"/>
  <c r="F292" i="13"/>
  <c r="F291" i="13"/>
  <c r="F290" i="13"/>
  <c r="F289" i="13"/>
  <c r="F288" i="13"/>
  <c r="F287" i="13"/>
  <c r="F286" i="13"/>
  <c r="F285" i="13"/>
  <c r="F284" i="13"/>
  <c r="F283" i="13"/>
  <c r="F278" i="13"/>
  <c r="F277" i="13"/>
  <c r="F276" i="13"/>
  <c r="F275" i="13"/>
  <c r="F274" i="13"/>
  <c r="F273" i="13"/>
  <c r="F271" i="13"/>
  <c r="F270" i="13"/>
  <c r="F269" i="13"/>
  <c r="F267" i="13"/>
  <c r="F266" i="13"/>
  <c r="F265" i="13"/>
  <c r="F264" i="13"/>
  <c r="F263" i="13"/>
  <c r="F262" i="13"/>
  <c r="F261" i="13"/>
  <c r="F260" i="13"/>
  <c r="F259" i="13"/>
  <c r="F258" i="13"/>
  <c r="F257" i="13"/>
  <c r="F256" i="13"/>
  <c r="F255" i="13"/>
  <c r="F250" i="13"/>
  <c r="F249" i="13"/>
  <c r="F248" i="13"/>
  <c r="F247" i="13"/>
  <c r="F246" i="13"/>
  <c r="F245" i="13"/>
  <c r="F243" i="13"/>
  <c r="F242" i="13"/>
  <c r="F241" i="13"/>
  <c r="F239" i="13"/>
  <c r="F238" i="13"/>
  <c r="F237" i="13"/>
  <c r="F236" i="13"/>
  <c r="F235" i="13"/>
  <c r="F234" i="13"/>
  <c r="F233" i="13"/>
  <c r="F232" i="13"/>
  <c r="F231" i="13"/>
  <c r="F230" i="13"/>
  <c r="F229" i="13"/>
  <c r="F228" i="13"/>
  <c r="F227" i="13"/>
  <c r="F222" i="13"/>
  <c r="F221" i="13"/>
  <c r="F220" i="13"/>
  <c r="F219" i="13"/>
  <c r="F218" i="13"/>
  <c r="F217" i="13"/>
  <c r="F215" i="13"/>
  <c r="F214" i="13"/>
  <c r="F213" i="13"/>
  <c r="F211" i="13"/>
  <c r="F210" i="13"/>
  <c r="F209" i="13"/>
  <c r="F208" i="13"/>
  <c r="F207" i="13"/>
  <c r="F206" i="13"/>
  <c r="F205" i="13"/>
  <c r="F204" i="13"/>
  <c r="F203" i="13"/>
  <c r="F202" i="13"/>
  <c r="F201" i="13"/>
  <c r="F200" i="13"/>
  <c r="F199" i="13"/>
  <c r="F194" i="13"/>
  <c r="F193" i="13"/>
  <c r="F192" i="13"/>
  <c r="F191" i="13"/>
  <c r="F190" i="13"/>
  <c r="F189" i="13"/>
  <c r="F187" i="13"/>
  <c r="F186" i="13"/>
  <c r="F185" i="13"/>
  <c r="F183" i="13"/>
  <c r="F182" i="13"/>
  <c r="F181" i="13"/>
  <c r="F180" i="13"/>
  <c r="F179" i="13"/>
  <c r="F178" i="13"/>
  <c r="F177" i="13"/>
  <c r="F176" i="13"/>
  <c r="F175" i="13"/>
  <c r="F174" i="13"/>
  <c r="F173" i="13"/>
  <c r="F172" i="13"/>
  <c r="F171" i="13"/>
  <c r="F166" i="13"/>
  <c r="F165" i="13"/>
  <c r="F164" i="13"/>
  <c r="F163" i="13"/>
  <c r="F162" i="13"/>
  <c r="F161" i="13"/>
  <c r="F159" i="13"/>
  <c r="F158" i="13"/>
  <c r="F157" i="13"/>
  <c r="F155" i="13"/>
  <c r="F154" i="13"/>
  <c r="F153" i="13"/>
  <c r="F152" i="13"/>
  <c r="F151" i="13"/>
  <c r="F150" i="13"/>
  <c r="F149" i="13"/>
  <c r="F148" i="13"/>
  <c r="F147" i="13"/>
  <c r="F146" i="13"/>
  <c r="F145" i="13"/>
  <c r="F144" i="13"/>
  <c r="F143" i="13"/>
  <c r="F138" i="13"/>
  <c r="F137" i="13"/>
  <c r="F136" i="13"/>
  <c r="F135" i="13"/>
  <c r="F134" i="13"/>
  <c r="F133" i="13"/>
  <c r="F131" i="13"/>
  <c r="F130" i="13"/>
  <c r="F129" i="13"/>
  <c r="F127" i="13"/>
  <c r="F126" i="13"/>
  <c r="F125" i="13"/>
  <c r="F124" i="13"/>
  <c r="F123" i="13"/>
  <c r="F122" i="13"/>
  <c r="F121" i="13"/>
  <c r="F120" i="13"/>
  <c r="F119" i="13"/>
  <c r="F118" i="13"/>
  <c r="F117" i="13"/>
  <c r="F116" i="13"/>
  <c r="F115" i="13"/>
  <c r="F110" i="13"/>
  <c r="F109" i="13"/>
  <c r="F108" i="13"/>
  <c r="F107" i="13"/>
  <c r="F106" i="13"/>
  <c r="F105" i="13"/>
  <c r="F103" i="13"/>
  <c r="F102" i="13"/>
  <c r="F101" i="13"/>
  <c r="F99" i="13"/>
  <c r="F98" i="13"/>
  <c r="F97" i="13"/>
  <c r="F96" i="13"/>
  <c r="F95" i="13"/>
  <c r="F94" i="13"/>
  <c r="F93" i="13"/>
  <c r="F92" i="13"/>
  <c r="F91" i="13"/>
  <c r="F90" i="13"/>
  <c r="F89" i="13"/>
  <c r="F88" i="13"/>
  <c r="F87" i="13"/>
  <c r="F82" i="13"/>
  <c r="F81" i="13"/>
  <c r="F80" i="13"/>
  <c r="F79" i="13"/>
  <c r="F78" i="13"/>
  <c r="F77" i="13"/>
  <c r="F75" i="13"/>
  <c r="F74" i="13"/>
  <c r="F73" i="13"/>
  <c r="F71" i="13"/>
  <c r="F70" i="13"/>
  <c r="F69" i="13"/>
  <c r="F68" i="13"/>
  <c r="F67" i="13"/>
  <c r="F66" i="13"/>
  <c r="F65" i="13"/>
  <c r="F64" i="13"/>
  <c r="F63" i="13"/>
  <c r="F62" i="13"/>
  <c r="F61" i="13"/>
  <c r="F60" i="13"/>
  <c r="F59" i="13"/>
  <c r="F54" i="13"/>
  <c r="F53" i="13"/>
  <c r="F52" i="13"/>
  <c r="F51" i="13"/>
  <c r="F50" i="13"/>
  <c r="F49" i="13"/>
  <c r="F47" i="13"/>
  <c r="F46" i="13"/>
  <c r="F45" i="13"/>
  <c r="F43" i="13"/>
  <c r="F42" i="13"/>
  <c r="F41" i="13"/>
  <c r="F40" i="13"/>
  <c r="F39" i="13"/>
  <c r="F38" i="13"/>
  <c r="F37" i="13"/>
  <c r="F36" i="13"/>
  <c r="F35" i="13"/>
  <c r="F34" i="13"/>
  <c r="F33" i="13"/>
  <c r="F32" i="13"/>
  <c r="F31" i="13"/>
  <c r="F60" i="2"/>
  <c r="F23" i="13"/>
  <c r="F26" i="13"/>
  <c r="F25" i="13"/>
  <c r="F24" i="13"/>
  <c r="F22" i="13"/>
  <c r="F18" i="13"/>
  <c r="F15" i="13"/>
  <c r="F12" i="13"/>
  <c r="F14" i="13"/>
  <c r="F13" i="13"/>
  <c r="F6" i="13"/>
  <c r="F21" i="13"/>
  <c r="F19" i="13"/>
  <c r="F17" i="13"/>
  <c r="F11" i="13"/>
  <c r="F10" i="13"/>
  <c r="F9" i="13"/>
  <c r="F8" i="13"/>
  <c r="F7" i="13"/>
  <c r="F5" i="13"/>
  <c r="F4" i="13"/>
  <c r="F3" i="13"/>
  <c r="B5" i="2" l="1"/>
  <c r="F44" i="2" l="1"/>
  <c r="F51" i="2" l="1"/>
  <c r="F43" i="2"/>
  <c r="F40" i="2"/>
  <c r="F42" i="2" l="1"/>
  <c r="F41" i="2" l="1"/>
  <c r="F63" i="2" l="1"/>
  <c r="F91" i="2" s="1"/>
  <c r="F55" i="2" l="1"/>
  <c r="G303" i="13" l="1"/>
  <c r="G275" i="13"/>
  <c r="G247" i="13"/>
  <c r="G219" i="13"/>
  <c r="G191" i="13"/>
  <c r="G163" i="13"/>
  <c r="G135" i="13"/>
  <c r="G107" i="13"/>
  <c r="G79" i="13"/>
  <c r="G51" i="13"/>
  <c r="G306" i="13"/>
  <c r="G302" i="13"/>
  <c r="G301" i="13"/>
  <c r="G300" i="13"/>
  <c r="G278" i="13"/>
  <c r="G274" i="13"/>
  <c r="G273" i="13"/>
  <c r="G272" i="13"/>
  <c r="G250" i="13"/>
  <c r="G246" i="13"/>
  <c r="G245" i="13"/>
  <c r="G244" i="13"/>
  <c r="G222" i="13"/>
  <c r="G218" i="13"/>
  <c r="G217" i="13"/>
  <c r="G216" i="13"/>
  <c r="G194" i="13"/>
  <c r="G190" i="13"/>
  <c r="G189" i="13"/>
  <c r="G188" i="13"/>
  <c r="G166" i="13"/>
  <c r="G162" i="13"/>
  <c r="G161" i="13"/>
  <c r="G160" i="13"/>
  <c r="G138" i="13"/>
  <c r="G134" i="13"/>
  <c r="G133" i="13"/>
  <c r="G132" i="13"/>
  <c r="G110" i="13"/>
  <c r="G106" i="13"/>
  <c r="G105" i="13"/>
  <c r="G104" i="13"/>
  <c r="G82" i="13"/>
  <c r="G78" i="13"/>
  <c r="G77" i="13"/>
  <c r="G76" i="13"/>
  <c r="G54" i="13"/>
  <c r="G50" i="13"/>
  <c r="G49" i="13"/>
  <c r="G48" i="13"/>
  <c r="G175" i="13" l="1"/>
  <c r="G283" i="13"/>
  <c r="H283" i="13" s="1"/>
  <c r="I283" i="13" s="1"/>
  <c r="G231" i="13"/>
  <c r="G87" i="13"/>
  <c r="H87" i="13" s="1"/>
  <c r="H22" i="14" s="1"/>
  <c r="G63" i="13"/>
  <c r="G171" i="13"/>
  <c r="H171" i="13" s="1"/>
  <c r="K22" i="14" s="1"/>
  <c r="G31" i="13"/>
  <c r="H31" i="13" s="1"/>
  <c r="I31" i="13" s="1"/>
  <c r="G147" i="13"/>
  <c r="G255" i="13"/>
  <c r="H255" i="13" s="1"/>
  <c r="I255" i="13" s="1"/>
  <c r="G91" i="13"/>
  <c r="G203" i="13"/>
  <c r="G115" i="13"/>
  <c r="H115" i="13" s="1"/>
  <c r="I115" i="13" s="1"/>
  <c r="G199" i="13"/>
  <c r="H199" i="13" s="1"/>
  <c r="I199" i="13" s="1"/>
  <c r="G59" i="13"/>
  <c r="H59" i="13" s="1"/>
  <c r="I59" i="13" s="1"/>
  <c r="G143" i="13"/>
  <c r="H143" i="13" s="1"/>
  <c r="J22" i="14" s="1"/>
  <c r="G259" i="13"/>
  <c r="G119" i="13"/>
  <c r="G227" i="13"/>
  <c r="H227" i="13" s="1"/>
  <c r="M22" i="14" s="1"/>
  <c r="G287" i="13"/>
  <c r="G36" i="13"/>
  <c r="G92" i="13"/>
  <c r="G148" i="13"/>
  <c r="G260" i="13"/>
  <c r="G204" i="13"/>
  <c r="G120" i="13"/>
  <c r="G176" i="13"/>
  <c r="G232" i="13"/>
  <c r="G288" i="13"/>
  <c r="G100" i="13"/>
  <c r="G164" i="13"/>
  <c r="H164" i="13" s="1"/>
  <c r="I164" i="13" s="1"/>
  <c r="H188" i="13"/>
  <c r="I188" i="13" s="1"/>
  <c r="G220" i="13"/>
  <c r="H220" i="13" s="1"/>
  <c r="I220" i="13" s="1"/>
  <c r="H160" i="13"/>
  <c r="I160" i="13" s="1"/>
  <c r="H272" i="13"/>
  <c r="I272" i="13" s="1"/>
  <c r="G52" i="13"/>
  <c r="H52" i="13" s="1"/>
  <c r="I52" i="13" s="1"/>
  <c r="G80" i="13"/>
  <c r="H80" i="13" s="1"/>
  <c r="I80" i="13" s="1"/>
  <c r="G108" i="13"/>
  <c r="H108" i="13" s="1"/>
  <c r="I108" i="13" s="1"/>
  <c r="G136" i="13"/>
  <c r="H136" i="13" s="1"/>
  <c r="I136" i="13" s="1"/>
  <c r="G192" i="13"/>
  <c r="H192" i="13" s="1"/>
  <c r="G248" i="13"/>
  <c r="H248" i="13" s="1"/>
  <c r="I248" i="13" s="1"/>
  <c r="G276" i="13"/>
  <c r="H276" i="13" s="1"/>
  <c r="I276" i="13" s="1"/>
  <c r="G304" i="13"/>
  <c r="H304" i="13" s="1"/>
  <c r="I304" i="13" s="1"/>
  <c r="G44" i="13"/>
  <c r="G128" i="13"/>
  <c r="G156" i="13"/>
  <c r="G184" i="13"/>
  <c r="G212" i="13"/>
  <c r="G240" i="13"/>
  <c r="G268" i="13"/>
  <c r="G296" i="13"/>
  <c r="H48" i="13"/>
  <c r="I48" i="13" s="1"/>
  <c r="G117" i="13"/>
  <c r="H117" i="13" s="1"/>
  <c r="I117" i="13" s="1"/>
  <c r="H132" i="13"/>
  <c r="I132" i="13" s="1"/>
  <c r="G173" i="13"/>
  <c r="H173" i="13" s="1"/>
  <c r="I173" i="13" s="1"/>
  <c r="H216" i="13"/>
  <c r="I216" i="13" s="1"/>
  <c r="G229" i="13"/>
  <c r="H229" i="13" s="1"/>
  <c r="I229" i="13" s="1"/>
  <c r="G285" i="13"/>
  <c r="H285" i="13" s="1"/>
  <c r="I285" i="13" s="1"/>
  <c r="H76" i="13"/>
  <c r="I76" i="13" s="1"/>
  <c r="G89" i="13"/>
  <c r="H89" i="13" s="1"/>
  <c r="I89" i="13" s="1"/>
  <c r="G145" i="13"/>
  <c r="H145" i="13" s="1"/>
  <c r="I145" i="13" s="1"/>
  <c r="G201" i="13"/>
  <c r="H201" i="13" s="1"/>
  <c r="I201" i="13" s="1"/>
  <c r="G257" i="13"/>
  <c r="H257" i="13" s="1"/>
  <c r="I257" i="13" s="1"/>
  <c r="H300" i="13"/>
  <c r="I300" i="13" s="1"/>
  <c r="H244" i="13"/>
  <c r="I244" i="13" s="1"/>
  <c r="H104" i="13"/>
  <c r="I104" i="13" s="1"/>
  <c r="G64" i="13"/>
  <c r="G72" i="13"/>
  <c r="G33" i="13"/>
  <c r="H33" i="13" s="1"/>
  <c r="I33" i="13" s="1"/>
  <c r="G35" i="13"/>
  <c r="G61" i="13"/>
  <c r="H61" i="13" s="1"/>
  <c r="I61" i="13" s="1"/>
  <c r="O22" i="14"/>
  <c r="N22" i="14"/>
  <c r="I87" i="13" l="1"/>
  <c r="G22" i="14"/>
  <c r="I171" i="13"/>
  <c r="I22" i="14"/>
  <c r="L22" i="14"/>
  <c r="I143" i="13"/>
  <c r="F22" i="14"/>
  <c r="I227" i="13"/>
  <c r="I192" i="13"/>
  <c r="F50" i="2" l="1"/>
  <c r="F52" i="2"/>
  <c r="F49" i="2"/>
  <c r="F48" i="2" l="1"/>
  <c r="G263" i="13"/>
  <c r="H259" i="13" s="1"/>
  <c r="G207" i="13"/>
  <c r="H203" i="13" s="1"/>
  <c r="G151" i="13"/>
  <c r="H147" i="13" s="1"/>
  <c r="G95" i="13"/>
  <c r="H91" i="13" s="1"/>
  <c r="G39" i="13"/>
  <c r="H35" i="13" s="1"/>
  <c r="G291" i="13"/>
  <c r="H287" i="13" s="1"/>
  <c r="G235" i="13"/>
  <c r="H231" i="13" s="1"/>
  <c r="G179" i="13"/>
  <c r="H175" i="13" s="1"/>
  <c r="G123" i="13"/>
  <c r="H119" i="13" s="1"/>
  <c r="G67" i="13"/>
  <c r="H63" i="13" s="1"/>
  <c r="I35" i="13" l="1"/>
  <c r="J31" i="13"/>
  <c r="I91" i="13"/>
  <c r="J87" i="13"/>
  <c r="I147" i="13"/>
  <c r="J143" i="13"/>
  <c r="I63" i="13"/>
  <c r="J59" i="13"/>
  <c r="I203" i="13"/>
  <c r="J199" i="13"/>
  <c r="I259" i="13"/>
  <c r="J255" i="13"/>
  <c r="I119" i="13"/>
  <c r="J115" i="13"/>
  <c r="I175" i="13"/>
  <c r="J171" i="13"/>
  <c r="I231" i="13"/>
  <c r="J227" i="13"/>
  <c r="I287" i="13"/>
  <c r="J283" i="13"/>
  <c r="G23" i="13"/>
  <c r="G11" i="13"/>
  <c r="G26" i="13"/>
  <c r="G22" i="13"/>
  <c r="G21" i="13"/>
  <c r="G20" i="13"/>
  <c r="G3" i="13"/>
  <c r="H3" i="13" s="1"/>
  <c r="F45" i="2"/>
  <c r="F47" i="2"/>
  <c r="F46" i="2"/>
  <c r="D145" i="2"/>
  <c r="C148" i="2" s="1"/>
  <c r="D141" i="2"/>
  <c r="C147" i="2" s="1"/>
  <c r="D125" i="2"/>
  <c r="D121" i="2"/>
  <c r="D106" i="2"/>
  <c r="D102" i="2"/>
  <c r="F59" i="2"/>
  <c r="AD116" i="1"/>
  <c r="G24" i="13" l="1"/>
  <c r="I3" i="13"/>
  <c r="E22" i="14"/>
  <c r="G16" i="13"/>
  <c r="G8" i="13"/>
  <c r="E8" i="14" s="1"/>
  <c r="G5" i="13"/>
  <c r="G7" i="13"/>
  <c r="D144" i="2"/>
  <c r="D140" i="2"/>
  <c r="D124" i="2"/>
  <c r="C128" i="2" s="1"/>
  <c r="C130" i="2" s="1"/>
  <c r="D120" i="2"/>
  <c r="C127" i="2" s="1"/>
  <c r="C129" i="2" s="1"/>
  <c r="D105" i="2"/>
  <c r="C109" i="2" s="1"/>
  <c r="D101" i="2"/>
  <c r="C108" i="2" s="1"/>
  <c r="AE150" i="1" l="1"/>
  <c r="AD150" i="1"/>
  <c r="F54" i="2" l="1"/>
  <c r="AE50" i="1" l="1"/>
  <c r="F58" i="2" s="1"/>
  <c r="AD50" i="1"/>
  <c r="AD49" i="1"/>
  <c r="AF14" i="1"/>
  <c r="G44" i="2" l="1"/>
  <c r="AG84" i="1"/>
  <c r="AD84" i="1"/>
  <c r="F62" i="2" l="1"/>
  <c r="F61" i="2"/>
  <c r="F89" i="2" s="1"/>
  <c r="G89" i="2" l="1"/>
  <c r="G61" i="2"/>
  <c r="G91" i="2"/>
  <c r="H89" i="2" l="1"/>
  <c r="G72" i="2"/>
  <c r="G73" i="2" l="1"/>
  <c r="G68" i="2"/>
  <c r="H68" i="2" s="1"/>
  <c r="I68" i="2" s="1"/>
  <c r="I24" i="2" l="1"/>
  <c r="D22" i="14" s="1"/>
  <c r="B98" i="2" l="1"/>
  <c r="B137" i="2"/>
  <c r="C111" i="2" l="1"/>
  <c r="C110" i="2"/>
  <c r="C149" i="2"/>
  <c r="C150" i="2"/>
  <c r="F56" i="2"/>
  <c r="F4" i="14" l="1"/>
  <c r="G4" i="14"/>
  <c r="H4" i="14"/>
  <c r="I4" i="14"/>
  <c r="J4" i="14"/>
  <c r="O4" i="14"/>
  <c r="N4" i="14"/>
  <c r="M4" i="14"/>
  <c r="L4" i="14"/>
  <c r="K4" i="14"/>
  <c r="K21" i="14" s="1"/>
  <c r="L21" i="14" l="1"/>
  <c r="F21" i="14"/>
  <c r="O21" i="14"/>
  <c r="N21" i="14"/>
  <c r="M21" i="14"/>
  <c r="J21" i="14"/>
  <c r="I21" i="14"/>
  <c r="H21" i="14"/>
  <c r="G21" i="14"/>
  <c r="A32" i="14" l="1"/>
  <c r="O16" i="14"/>
  <c r="O14" i="14"/>
  <c r="O13" i="14"/>
  <c r="O12" i="14"/>
  <c r="O7" i="14"/>
  <c r="N16" i="14"/>
  <c r="N14" i="14"/>
  <c r="N13" i="14"/>
  <c r="N12" i="14"/>
  <c r="N7" i="14"/>
  <c r="M16" i="14"/>
  <c r="M14" i="14"/>
  <c r="M13" i="14"/>
  <c r="M12" i="14"/>
  <c r="L16" i="14"/>
  <c r="L14" i="14"/>
  <c r="L13" i="14"/>
  <c r="L12" i="14"/>
  <c r="L7" i="14"/>
  <c r="O10" i="14" l="1"/>
  <c r="L11" i="14"/>
  <c r="N11" i="14"/>
  <c r="O11" i="14"/>
  <c r="M11" i="14"/>
  <c r="M7" i="14"/>
  <c r="O8" i="14"/>
  <c r="L8" i="14"/>
  <c r="O5" i="14"/>
  <c r="M8" i="14"/>
  <c r="N9" i="14"/>
  <c r="L10" i="14"/>
  <c r="N5" i="14"/>
  <c r="M9" i="14"/>
  <c r="M10" i="14"/>
  <c r="M5" i="14"/>
  <c r="L5" i="14"/>
  <c r="L9" i="14" l="1"/>
  <c r="N8" i="14"/>
  <c r="N24" i="14"/>
  <c r="O9" i="14"/>
  <c r="G40" i="2"/>
  <c r="H40" i="2" s="1"/>
  <c r="O15" i="14"/>
  <c r="O6" i="14"/>
  <c r="L6" i="14"/>
  <c r="N15" i="14"/>
  <c r="M15" i="14"/>
  <c r="L15" i="14"/>
  <c r="N6" i="14"/>
  <c r="M6" i="14"/>
  <c r="N10" i="14"/>
  <c r="K16" i="14"/>
  <c r="K14" i="14"/>
  <c r="K13" i="14"/>
  <c r="K12" i="14"/>
  <c r="K7" i="14"/>
  <c r="J16" i="14"/>
  <c r="J14" i="14"/>
  <c r="J13" i="14"/>
  <c r="J12" i="14"/>
  <c r="J7" i="14"/>
  <c r="I16" i="14"/>
  <c r="I14" i="14"/>
  <c r="I13" i="14"/>
  <c r="I12" i="14"/>
  <c r="I7" i="14"/>
  <c r="H16" i="14"/>
  <c r="H14" i="14"/>
  <c r="H13" i="14"/>
  <c r="H12" i="14"/>
  <c r="H7" i="14"/>
  <c r="G16" i="14"/>
  <c r="G14" i="14"/>
  <c r="G13" i="14"/>
  <c r="G12" i="14"/>
  <c r="G7" i="14"/>
  <c r="H24" i="2" l="1"/>
  <c r="I40" i="2"/>
  <c r="O23" i="14"/>
  <c r="O26" i="14"/>
  <c r="K11" i="14"/>
  <c r="J11" i="14"/>
  <c r="I11" i="14"/>
  <c r="H11" i="14"/>
  <c r="G11" i="14"/>
  <c r="O24" i="14"/>
  <c r="O25" i="14"/>
  <c r="L25" i="14"/>
  <c r="L26" i="14"/>
  <c r="M26" i="14"/>
  <c r="M23" i="14"/>
  <c r="N26" i="14"/>
  <c r="N23" i="14"/>
  <c r="L23" i="14"/>
  <c r="N25" i="14"/>
  <c r="M25" i="14"/>
  <c r="L24" i="14"/>
  <c r="M24" i="14"/>
  <c r="K8" i="14"/>
  <c r="H8" i="14"/>
  <c r="K10" i="14"/>
  <c r="J8" i="14"/>
  <c r="J10" i="14"/>
  <c r="K5" i="14"/>
  <c r="G8" i="14"/>
  <c r="I8" i="14"/>
  <c r="J5" i="14"/>
  <c r="H5" i="14"/>
  <c r="I10" i="14"/>
  <c r="H10" i="14"/>
  <c r="G10" i="14"/>
  <c r="F8" i="14"/>
  <c r="G5" i="14"/>
  <c r="F16" i="14"/>
  <c r="F14" i="14"/>
  <c r="F13" i="14"/>
  <c r="F12" i="14"/>
  <c r="F7" i="14"/>
  <c r="E16" i="14"/>
  <c r="E14" i="14"/>
  <c r="E13" i="14"/>
  <c r="E12" i="14"/>
  <c r="E7" i="14"/>
  <c r="J24" i="2" l="1"/>
  <c r="C22" i="14"/>
  <c r="L27" i="14"/>
  <c r="L28" i="14" s="1"/>
  <c r="N27" i="14"/>
  <c r="N28" i="14" s="1"/>
  <c r="M27" i="14"/>
  <c r="M28" i="14" s="1"/>
  <c r="O27" i="14"/>
  <c r="O28" i="14" s="1"/>
  <c r="F6" i="14"/>
  <c r="F23" i="14"/>
  <c r="G15" i="14"/>
  <c r="K9" i="14"/>
  <c r="I9" i="14"/>
  <c r="J9" i="14"/>
  <c r="I5" i="14"/>
  <c r="J6" i="14"/>
  <c r="K26" i="14"/>
  <c r="K15" i="14"/>
  <c r="J23" i="14"/>
  <c r="I15" i="14"/>
  <c r="H15" i="14"/>
  <c r="K6" i="14"/>
  <c r="I6" i="14"/>
  <c r="H9" i="14"/>
  <c r="J15" i="14"/>
  <c r="G6" i="14"/>
  <c r="H6" i="14"/>
  <c r="H5" i="13"/>
  <c r="E5" i="14"/>
  <c r="E10" i="14"/>
  <c r="H24" i="13"/>
  <c r="F10" i="14"/>
  <c r="F5" i="14"/>
  <c r="E11" i="14" l="1"/>
  <c r="H20" i="13"/>
  <c r="E25" i="14" s="1"/>
  <c r="F11" i="14"/>
  <c r="F25" i="14"/>
  <c r="J25" i="14"/>
  <c r="J24" i="14"/>
  <c r="K25" i="14"/>
  <c r="G25" i="14"/>
  <c r="F26" i="14"/>
  <c r="F15" i="14"/>
  <c r="I25" i="14"/>
  <c r="E6" i="14"/>
  <c r="K24" i="14"/>
  <c r="G23" i="14"/>
  <c r="J26" i="14"/>
  <c r="I23" i="14"/>
  <c r="E26" i="14"/>
  <c r="E15" i="14"/>
  <c r="G26" i="14"/>
  <c r="I24" i="14"/>
  <c r="H25" i="14"/>
  <c r="H23" i="14"/>
  <c r="H24" i="14"/>
  <c r="H26" i="14"/>
  <c r="K23" i="14"/>
  <c r="I26" i="14"/>
  <c r="K27" i="14" l="1"/>
  <c r="K28" i="14" s="1"/>
  <c r="H27" i="14"/>
  <c r="H28" i="14" s="1"/>
  <c r="J27" i="14"/>
  <c r="J28" i="14" s="1"/>
  <c r="I27" i="14"/>
  <c r="I28" i="14" s="1"/>
  <c r="I24" i="13"/>
  <c r="I5" i="13"/>
  <c r="E23" i="14"/>
  <c r="I20" i="13"/>
  <c r="AD14" i="1" l="1"/>
  <c r="D24" i="2" l="1"/>
  <c r="D5" i="14"/>
  <c r="C24" i="2"/>
  <c r="C5" i="14"/>
  <c r="G81" i="2" l="1"/>
  <c r="G53" i="2"/>
  <c r="C29" i="2" s="1"/>
  <c r="U252" i="1" l="1"/>
  <c r="G9" i="14" l="1"/>
  <c r="E9" i="14"/>
  <c r="H7" i="13"/>
  <c r="J3" i="13" s="1"/>
  <c r="F9" i="14"/>
  <c r="F24" i="14"/>
  <c r="F27" i="14" s="1"/>
  <c r="F28" i="14" s="1"/>
  <c r="G42" i="2"/>
  <c r="H42" i="2" s="1"/>
  <c r="I42" i="2" l="1"/>
  <c r="C6" i="14"/>
  <c r="C15" i="14"/>
  <c r="I7" i="13"/>
  <c r="E24" i="14"/>
  <c r="E27" i="14" s="1"/>
  <c r="E28" i="14" s="1"/>
  <c r="G24" i="14"/>
  <c r="G27" i="14" s="1"/>
  <c r="G28" i="14" s="1"/>
  <c r="F12" i="2" l="1"/>
  <c r="F11" i="2"/>
  <c r="F13" i="2" l="1"/>
  <c r="G45" i="2" l="1"/>
  <c r="K8" i="2" l="1"/>
  <c r="K7" i="2"/>
  <c r="C112" i="2"/>
  <c r="C151" i="2"/>
  <c r="C131" i="2"/>
  <c r="K9" i="2" l="1"/>
  <c r="G58" i="2"/>
  <c r="G86" i="2"/>
  <c r="D31" i="2" l="1"/>
  <c r="D12" i="14"/>
  <c r="C31" i="2"/>
  <c r="C12" i="14"/>
  <c r="G60" i="2"/>
  <c r="G88" i="2"/>
  <c r="D33" i="2" l="1"/>
  <c r="D14" i="14"/>
  <c r="C33" i="2"/>
  <c r="C14" i="14"/>
  <c r="G59" i="2"/>
  <c r="G87" i="2"/>
  <c r="D32" i="2" l="1"/>
  <c r="D13" i="14"/>
  <c r="C32" i="2"/>
  <c r="C13" i="14"/>
  <c r="G57" i="2" l="1"/>
  <c r="H57" i="2" s="1"/>
  <c r="D8" i="14"/>
  <c r="C8" i="14"/>
  <c r="C11" i="14" l="1"/>
  <c r="G85" i="2"/>
  <c r="C30" i="2"/>
  <c r="D27" i="2"/>
  <c r="C27" i="2"/>
  <c r="D11" i="14" l="1"/>
  <c r="D30" i="2"/>
  <c r="G63" i="2"/>
  <c r="H61" i="2" s="1"/>
  <c r="D35" i="2" l="1"/>
  <c r="D16" i="14"/>
  <c r="C35" i="2"/>
  <c r="C16" i="14"/>
  <c r="H85" i="2" l="1"/>
  <c r="D15" i="14" l="1"/>
  <c r="D25" i="14"/>
  <c r="I85" i="2" l="1"/>
  <c r="I30" i="2"/>
  <c r="C34" i="2"/>
  <c r="D34" i="2"/>
  <c r="H32" i="2" l="1"/>
  <c r="C26" i="14"/>
  <c r="I32" i="2"/>
  <c r="D26" i="14"/>
  <c r="H30" i="2"/>
  <c r="C25" i="14"/>
  <c r="I89" i="2"/>
  <c r="I61" i="2"/>
  <c r="I57" i="2"/>
  <c r="G76" i="2"/>
  <c r="J30" i="2" l="1"/>
  <c r="J32" i="2"/>
  <c r="D28" i="2"/>
  <c r="D9" i="14"/>
  <c r="D26" i="2"/>
  <c r="D7" i="14"/>
  <c r="H72" i="2"/>
  <c r="D10" i="14"/>
  <c r="G70" i="2"/>
  <c r="D6" i="14" l="1"/>
  <c r="H70" i="2"/>
  <c r="J68" i="2" s="1"/>
  <c r="G48" i="2"/>
  <c r="D25" i="2"/>
  <c r="D29" i="2"/>
  <c r="C7" i="14"/>
  <c r="H44" i="2" l="1"/>
  <c r="F8" i="2"/>
  <c r="I70" i="2"/>
  <c r="D23" i="14"/>
  <c r="I72" i="2"/>
  <c r="D24" i="14"/>
  <c r="C10" i="14"/>
  <c r="C28" i="2"/>
  <c r="C9" i="14"/>
  <c r="I26" i="2"/>
  <c r="I28" i="2"/>
  <c r="C26" i="2"/>
  <c r="I44" i="2" l="1"/>
  <c r="J40" i="2"/>
  <c r="F7" i="2" s="1"/>
  <c r="F14" i="2" s="1"/>
  <c r="F16" i="2" s="1"/>
  <c r="C24" i="14"/>
  <c r="D27" i="14"/>
  <c r="D28" i="14" s="1"/>
  <c r="H28" i="2"/>
  <c r="C25" i="2"/>
  <c r="J28" i="2" l="1"/>
  <c r="C23" i="14"/>
  <c r="C27" i="14" s="1"/>
  <c r="C28" i="14" s="1"/>
  <c r="J26" i="2" l="1"/>
  <c r="F9" i="2"/>
  <c r="F10" i="2" s="1"/>
  <c r="K15" i="2" l="1"/>
  <c r="K14" i="2" l="1"/>
  <c r="K16" i="2" s="1"/>
  <c r="K17" i="2" s="1"/>
  <c r="F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cjones</author>
  </authors>
  <commentList>
    <comment ref="F89" authorId="0" shapeId="0" xr:uid="{7340AF37-1EFD-40F5-9CA3-7287ABCEF371}">
      <text>
        <r>
          <rPr>
            <sz val="9"/>
            <color indexed="81"/>
            <rFont val="Tahoma"/>
            <family val="2"/>
          </rPr>
          <t>Requires change from existing field value of 2 or more to show lift or loss.</t>
        </r>
      </text>
    </comment>
    <comment ref="F91" authorId="0" shapeId="0" xr:uid="{0B8E0120-9B94-4B62-88DC-F08C3BA9A1A5}">
      <text>
        <r>
          <rPr>
            <sz val="9"/>
            <color indexed="81"/>
            <rFont val="Tahoma"/>
            <family val="2"/>
          </rPr>
          <t>Requires change from existing field value of 2 or more to show lift or loss.</t>
        </r>
      </text>
    </comment>
  </commentList>
</comments>
</file>

<file path=xl/sharedStrings.xml><?xml version="1.0" encoding="utf-8"?>
<sst xmlns="http://schemas.openxmlformats.org/spreadsheetml/2006/main" count="1370" uniqueCount="407">
  <si>
    <t>Bank Height Ratio (BHR)</t>
  </si>
  <si>
    <t>Functional Category</t>
  </si>
  <si>
    <t>Function-Based Parameters</t>
  </si>
  <si>
    <t>Measurement Method</t>
  </si>
  <si>
    <t>Field</t>
  </si>
  <si>
    <t>Index</t>
  </si>
  <si>
    <t>Hydraulics</t>
  </si>
  <si>
    <t>Floodplain Connectivity</t>
  </si>
  <si>
    <t>Bank Height Ratio</t>
  </si>
  <si>
    <t>Entrenchment Ratio</t>
  </si>
  <si>
    <t>C</t>
  </si>
  <si>
    <t>E</t>
  </si>
  <si>
    <t>B</t>
  </si>
  <si>
    <t>Bc</t>
  </si>
  <si>
    <t>Entrenchment Ratio (ER) C and E Streams</t>
  </si>
  <si>
    <t>Field Value</t>
  </si>
  <si>
    <t>Index Value</t>
  </si>
  <si>
    <t>Roll Up Scoring</t>
  </si>
  <si>
    <t>Parameter</t>
  </si>
  <si>
    <t>Category</t>
  </si>
  <si>
    <t>Overall</t>
  </si>
  <si>
    <t>A</t>
  </si>
  <si>
    <t>Sand</t>
  </si>
  <si>
    <t>Gravel</t>
  </si>
  <si>
    <t>LWD Index</t>
  </si>
  <si>
    <t>Perennial</t>
  </si>
  <si>
    <t>Flow Type:</t>
  </si>
  <si>
    <t>Geomorphology</t>
  </si>
  <si>
    <t>Large Woody Debris</t>
  </si>
  <si>
    <t>Ephemeral</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</si>
  <si>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</si>
  <si>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</si>
  <si>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</si>
  <si>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</si>
  <si>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</si>
  <si>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</si>
  <si>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</si>
  <si>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</si>
  <si>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</si>
  <si>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</si>
  <si>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</si>
  <si>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</si>
  <si>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</si>
  <si>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</si>
  <si>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</si>
  <si>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</si>
  <si>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</si>
  <si>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</si>
  <si>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</si>
  <si>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</si>
  <si>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</si>
  <si>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</si>
  <si>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</si>
  <si>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</si>
  <si>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</si>
  <si>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</si>
  <si>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</si>
  <si>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PROPOSED CONDITION ASSESSMENT</t>
  </si>
  <si>
    <t>Restoration Potential:</t>
  </si>
  <si>
    <t>Physicochemical</t>
  </si>
  <si>
    <t>Biology</t>
  </si>
  <si>
    <t>Intermittent</t>
  </si>
  <si>
    <t>Hydrology</t>
  </si>
  <si>
    <t>Yes</t>
  </si>
  <si>
    <t>No</t>
  </si>
  <si>
    <t>Proposed Stream Length (ft):</t>
  </si>
  <si>
    <t>Existing Stream Length (ft):</t>
  </si>
  <si>
    <t>Additional Stream Length (ft)</t>
  </si>
  <si>
    <t>Notes</t>
  </si>
  <si>
    <t>1. Users input values that are highlighted based on restoration potential</t>
  </si>
  <si>
    <t>Existing Stream Length (ft)</t>
  </si>
  <si>
    <t>Existing Parameter</t>
  </si>
  <si>
    <t>Proposed Parameter</t>
  </si>
  <si>
    <t>CATCHMENT ASSESSMENT</t>
  </si>
  <si>
    <t>Categories</t>
  </si>
  <si>
    <t>Description of Catchment Condition</t>
  </si>
  <si>
    <t>Rapidly urbanizing/urban</t>
  </si>
  <si>
    <t>Single family homes/suburban</t>
  </si>
  <si>
    <t>Rural communities/slow growth or primarily forested</t>
  </si>
  <si>
    <t>&gt;20% and &lt;70%</t>
  </si>
  <si>
    <t>Grant</t>
  </si>
  <si>
    <t>Other</t>
  </si>
  <si>
    <t>Programmatic Goals</t>
  </si>
  <si>
    <t>Select:</t>
  </si>
  <si>
    <t>Fish</t>
  </si>
  <si>
    <t>HYDRAULICS</t>
  </si>
  <si>
    <t>HYDROLOGY</t>
  </si>
  <si>
    <t>GEOMORPHOLOGY</t>
  </si>
  <si>
    <t>PHYSICOCHEMICAL</t>
  </si>
  <si>
    <t>BIOLOGY</t>
  </si>
  <si>
    <t>Livestock access to stream and/or intensive cropland upstream of project reach. A sufficient reach of stream is between Ag. land use and project reach.</t>
  </si>
  <si>
    <t>There is little to no agricultural land uses or the livestock or cropland is far enough away from project reach to cause no impact to water quality or biology.</t>
  </si>
  <si>
    <t>Stream Temperature:</t>
  </si>
  <si>
    <t>Coldwater</t>
  </si>
  <si>
    <t>Temperature</t>
  </si>
  <si>
    <t>Proposed Stream Length (ft)</t>
  </si>
  <si>
    <t>F</t>
  </si>
  <si>
    <t>G</t>
  </si>
  <si>
    <t>Stream Slope (%):</t>
  </si>
  <si>
    <t>Proposed Bed Material:</t>
  </si>
  <si>
    <t>Concentrated Flow (Hydrology)</t>
  </si>
  <si>
    <t>Impervious cover (Hydrology)</t>
  </si>
  <si>
    <t>Land Use Change  (Hydrology)</t>
  </si>
  <si>
    <t>Distance to Roads (Hydrology)</t>
  </si>
  <si>
    <t>Riparian Vegetation (Geomorphology)</t>
  </si>
  <si>
    <t>Sediment Supply (Geomorphology)</t>
  </si>
  <si>
    <t>Organism Recruitment (Biology)</t>
  </si>
  <si>
    <t>Agricultural Land Use (Physicochemical)</t>
  </si>
  <si>
    <t>Percent Streambank Erosion (%)</t>
  </si>
  <si>
    <t>Bacteria</t>
  </si>
  <si>
    <t>Gc</t>
  </si>
  <si>
    <t>Entrenchment Ratio (ER) A, B and Bc Streams</t>
  </si>
  <si>
    <t>M/Ex</t>
  </si>
  <si>
    <t>M/VH</t>
  </si>
  <si>
    <t>H/VL</t>
  </si>
  <si>
    <t>H/VH</t>
  </si>
  <si>
    <t>VH/L</t>
  </si>
  <si>
    <t>VH/M</t>
  </si>
  <si>
    <t>VH/H</t>
  </si>
  <si>
    <t>VH/Ex</t>
  </si>
  <si>
    <t>Ex/L</t>
  </si>
  <si>
    <t>Insert Aerial Photo of Project Reach</t>
  </si>
  <si>
    <t>Reach ID:</t>
  </si>
  <si>
    <t>BMP Routine</t>
  </si>
  <si>
    <t>Existing Condition Assessment</t>
  </si>
  <si>
    <t>Proposed Condition Assessment</t>
  </si>
  <si>
    <t>Results</t>
  </si>
  <si>
    <t xml:space="preserve">BMP Existing Score </t>
  </si>
  <si>
    <t>BMP Proposed Score</t>
  </si>
  <si>
    <t xml:space="preserve">Existing BMP Functional Foot Score </t>
  </si>
  <si>
    <t>Proposed BMP Functional Foot Score</t>
  </si>
  <si>
    <t>Proposed FFS - Existing FFS</t>
  </si>
  <si>
    <t>BMP 3</t>
  </si>
  <si>
    <t>BMP 2</t>
  </si>
  <si>
    <t xml:space="preserve">Scenarios </t>
  </si>
  <si>
    <t>Existing Stream Type:</t>
  </si>
  <si>
    <t>FUNCTIONAL CATEGORY REPORT CARD</t>
  </si>
  <si>
    <t xml:space="preserve">Functional Category  </t>
  </si>
  <si>
    <t>ECS</t>
  </si>
  <si>
    <t>PCS</t>
  </si>
  <si>
    <t>Project Name:</t>
  </si>
  <si>
    <t>Site Information</t>
  </si>
  <si>
    <t>a</t>
  </si>
  <si>
    <t>b</t>
  </si>
  <si>
    <t>F &amp; FAR</t>
  </si>
  <si>
    <t>NF</t>
  </si>
  <si>
    <t>c</t>
  </si>
  <si>
    <t>d</t>
  </si>
  <si>
    <t>NF &amp; FAR</t>
  </si>
  <si>
    <t>Proposed Condition Score (PCS)</t>
  </si>
  <si>
    <t>FUNCTIONAL FEET (FF) SUMMARY</t>
  </si>
  <si>
    <t>Existing BMP Functional Feet Score (FFS)</t>
  </si>
  <si>
    <t>Proposed BMP Functional Feet Score (FFS)</t>
  </si>
  <si>
    <t>Proposed BMP FFS - Existing BMP FFS</t>
  </si>
  <si>
    <t>Existing Stream FFS + Existing BMP FFS</t>
  </si>
  <si>
    <t>Proposed Stream FFS + Proposed BMP FFS</t>
  </si>
  <si>
    <t>Total Proposed FFS - Total Existing FFS</t>
  </si>
  <si>
    <t>FUNCTION BASED PARAMETERS SUMMARY</t>
  </si>
  <si>
    <t>Poor</t>
  </si>
  <si>
    <t>Fair</t>
  </si>
  <si>
    <t>Good</t>
  </si>
  <si>
    <t>Rating (P/F/G)</t>
  </si>
  <si>
    <t>Livestock access to stream and/or intensive cropland immediately upstream of project reach.</t>
  </si>
  <si>
    <t xml:space="preserve">Channel immediately upstream or downstream of project reach is concrete, piped, or hardened. </t>
  </si>
  <si>
    <t>Channel immediately upstream or downstream of project reach has native bed and bank material, but is impaired.</t>
  </si>
  <si>
    <t>Channel immediately upstream or downstream of project reach has native bed and bank material.</t>
  </si>
  <si>
    <t>FAR&amp; NF</t>
  </si>
  <si>
    <t xml:space="preserve">This sheet provides the formulas used to calculate index values from the field values entered on the Quantification Tool worksheet.  Formulas are fit to known delineations between Functioning, Functioning-At-Risk and Not Functioning. </t>
  </si>
  <si>
    <t>Reach Runoff</t>
  </si>
  <si>
    <t>Concentrated Flow Points</t>
  </si>
  <si>
    <t xml:space="preserve">Greater than 25% </t>
  </si>
  <si>
    <t>Between 10% and 25%</t>
  </si>
  <si>
    <t xml:space="preserve">Less than 10% </t>
  </si>
  <si>
    <t>Version Last Updated</t>
  </si>
  <si>
    <t>As-Built</t>
  </si>
  <si>
    <t>Overall Score</t>
  </si>
  <si>
    <t>Functional Feet</t>
  </si>
  <si>
    <t>Monitoring Year</t>
  </si>
  <si>
    <t>Last Monitoring Year</t>
  </si>
  <si>
    <t>2. Users select values from a pull-down menu</t>
  </si>
  <si>
    <t>Aggradation Ratio</t>
  </si>
  <si>
    <t>Coefficients - Y = a * X + b</t>
  </si>
  <si>
    <t>Monitoring Year:</t>
  </si>
  <si>
    <t>Date:</t>
  </si>
  <si>
    <t>Coefficients - Y = a * X^2 + b * X + c</t>
  </si>
  <si>
    <t>Stream Type:</t>
  </si>
  <si>
    <t>Dominant BEHI/NBS:</t>
  </si>
  <si>
    <t>Yes/No:</t>
  </si>
  <si>
    <t>Programmatic Goals:</t>
  </si>
  <si>
    <t>Catchment Condition:</t>
  </si>
  <si>
    <t>Valley Type:</t>
  </si>
  <si>
    <t>Colluvial</t>
  </si>
  <si>
    <t>Unconfined Alluvial</t>
  </si>
  <si>
    <t>Confined Alluvial</t>
  </si>
  <si>
    <t>Impact Severity Tier:</t>
  </si>
  <si>
    <t>Tier 1</t>
  </si>
  <si>
    <t>Tier 2</t>
  </si>
  <si>
    <t>Tier 3</t>
  </si>
  <si>
    <t>Tier 4</t>
  </si>
  <si>
    <t>Tier 5</t>
  </si>
  <si>
    <t>Tier 6</t>
  </si>
  <si>
    <t>Tier 0</t>
  </si>
  <si>
    <t>Reach Description</t>
  </si>
  <si>
    <t>Mitigation - Credits</t>
  </si>
  <si>
    <t>Percent Forested (Hydrology)</t>
  </si>
  <si>
    <t xml:space="preserve">Purpose: This form is used to determine the project's restoration potential. </t>
  </si>
  <si>
    <t>Change in Functional Condition (PCS - ECS)</t>
  </si>
  <si>
    <t>FUNCTIONAL CHANGE SUMMARY</t>
  </si>
  <si>
    <t>BMP FUNCTIONAL CHANGE SUMMARY</t>
  </si>
  <si>
    <t>Percent Condition Change</t>
  </si>
  <si>
    <t>Existing Functional Foot Score (FFS)</t>
  </si>
  <si>
    <t>Proposed Functional Foot Score (FFS)</t>
  </si>
  <si>
    <t>Functional Change</t>
  </si>
  <si>
    <t>Coefficients - Y = a * X^3 + b * X^2 + c * X + d</t>
  </si>
  <si>
    <t xml:space="preserve">Coefficients - Y = a * X + b </t>
  </si>
  <si>
    <t xml:space="preserve">Overall Catchment Condition       </t>
  </si>
  <si>
    <t>Flashiness Index (Hydrology)</t>
  </si>
  <si>
    <t>Land Use Change Coefficient</t>
  </si>
  <si>
    <t>Impoundment(s) has a negative effect on project area and fish passage</t>
  </si>
  <si>
    <t>Impoundment(s) might/suspected to have a negative effect on project area and fish passage.</t>
  </si>
  <si>
    <t>No impoundment upstream or downstream of project area.</t>
  </si>
  <si>
    <t>Poor (P)</t>
  </si>
  <si>
    <t>Fair (F)</t>
  </si>
  <si>
    <t>Good (G)</t>
  </si>
  <si>
    <t>Wadeable/Non-wadeable</t>
  </si>
  <si>
    <t>Wadeable</t>
  </si>
  <si>
    <t>Non-wadeable</t>
  </si>
  <si>
    <t>Wadeable/Non-wadeable:</t>
  </si>
  <si>
    <t>Macroinvertebrates - P51 Wadeable</t>
  </si>
  <si>
    <t>Restoration Approach</t>
  </si>
  <si>
    <t>The Stream Quantification Tool Credits:</t>
  </si>
  <si>
    <t>Contributing Agencies:</t>
  </si>
  <si>
    <t>Contractors:</t>
  </si>
  <si>
    <t>Lead Agency:</t>
  </si>
  <si>
    <t xml:space="preserve">Stream Mechanics </t>
  </si>
  <si>
    <t xml:space="preserve">Ecosystem Planning and Restoration (EPR) </t>
  </si>
  <si>
    <t>Latitude (decimal degrees):</t>
  </si>
  <si>
    <t>Longitude (decimal degrees):</t>
  </si>
  <si>
    <t>Township:</t>
  </si>
  <si>
    <t>Range:</t>
  </si>
  <si>
    <t>Section:</t>
  </si>
  <si>
    <t>Lateral Migration</t>
  </si>
  <si>
    <t>Cold-transitional</t>
  </si>
  <si>
    <t>Warm-transitional</t>
  </si>
  <si>
    <t>Warm</t>
  </si>
  <si>
    <t>July Mean Temperature  (°F)</t>
  </si>
  <si>
    <t>Nutrients</t>
  </si>
  <si>
    <t>Dissolved Oxygen</t>
  </si>
  <si>
    <t>Macroinvertebrates - P22 Non-Wadeable</t>
  </si>
  <si>
    <t>Macroinvertebrates</t>
  </si>
  <si>
    <t>Inline Watershed Impoundments  (Biology)</t>
  </si>
  <si>
    <t>Stream Type Succession</t>
  </si>
  <si>
    <t>E &gt; C &gt; Gc &gt; F &gt; C &gt; E</t>
  </si>
  <si>
    <t>C &gt; D &gt; C</t>
  </si>
  <si>
    <t>C &gt; D &gt; Gc &gt; F &gt; C</t>
  </si>
  <si>
    <t>C &gt; G &gt; F &gt; Bc</t>
  </si>
  <si>
    <t>E &gt; Gc &gt; F &gt; C &gt; E</t>
  </si>
  <si>
    <t>B &gt; G &gt; Fb &gt; B</t>
  </si>
  <si>
    <t>Eb &gt; G &gt; B</t>
  </si>
  <si>
    <t>C &gt; G &gt; F &gt; D &gt; C</t>
  </si>
  <si>
    <t>C &gt; G &gt; F &gt; C</t>
  </si>
  <si>
    <t xml:space="preserve">E &gt; A &gt; G &gt; F &gt; C &gt; E </t>
  </si>
  <si>
    <t xml:space="preserve">C &gt; F &gt; C &gt; F &gt; C </t>
  </si>
  <si>
    <t>C &gt; G &gt; F &gt; C &gt; C &gt; C</t>
  </si>
  <si>
    <t>Stream Succession Scenario</t>
  </si>
  <si>
    <t>Northern Lakes and Forests</t>
  </si>
  <si>
    <t>North Central Hardwood Forests</t>
  </si>
  <si>
    <t>Huron Erie Lake Plains</t>
  </si>
  <si>
    <t>Northern Lakes and Forests &amp; North Central Hardwood Forests</t>
  </si>
  <si>
    <t>July Mean Temperature (°F)</t>
  </si>
  <si>
    <r>
      <rPr>
        <sz val="10"/>
        <rFont val="Calibri"/>
        <family val="2"/>
      </rPr>
      <t>≤</t>
    </r>
    <r>
      <rPr>
        <sz val="8"/>
        <rFont val="Arial"/>
        <family val="2"/>
      </rPr>
      <t xml:space="preserve"> </t>
    </r>
    <r>
      <rPr>
        <sz val="10"/>
        <rFont val="Arial"/>
        <family val="2"/>
      </rPr>
      <t>20%</t>
    </r>
  </si>
  <si>
    <r>
      <rPr>
        <sz val="10"/>
        <rFont val="Calibri"/>
        <family val="2"/>
      </rPr>
      <t>≥</t>
    </r>
    <r>
      <rPr>
        <sz val="8"/>
        <rFont val="Arial"/>
        <family val="2"/>
      </rPr>
      <t xml:space="preserve"> </t>
    </r>
    <r>
      <rPr>
        <sz val="10"/>
        <rFont val="Arial"/>
        <family val="2"/>
      </rPr>
      <t>70%</t>
    </r>
  </si>
  <si>
    <t>Partial Restoration</t>
  </si>
  <si>
    <t>Full Restoration</t>
  </si>
  <si>
    <t>Roads located in or adjacent to project reach and/or road expansion proposed in 10 year plans.</t>
  </si>
  <si>
    <t xml:space="preserve">No roads in or adjacent to project reach.  No more than one road expansion proposed in 10 year plans.   </t>
  </si>
  <si>
    <t xml:space="preserve">No roads in or adjacent to project reach.  No proposed road expansion in 10 year plans.  </t>
  </si>
  <si>
    <t>Total Phosphorus (mcg/L)</t>
  </si>
  <si>
    <t>Coldwater &amp; Cold-Transitional</t>
  </si>
  <si>
    <t>Warm &amp; Warm-transitional</t>
  </si>
  <si>
    <t>E. Coli/100mL</t>
  </si>
  <si>
    <t>Reference No:</t>
  </si>
  <si>
    <t>Optional. Use where water quality standards are not being met and BMPs are proposed on adjacent drainage.</t>
  </si>
  <si>
    <t>Optional for all partial restoration potential projects. 
Required for full restoration potential projects.</t>
  </si>
  <si>
    <t>Optional. Use where BMPs are proposed on adjacent drainage or project is large enough to show lift.</t>
  </si>
  <si>
    <t>Required for all assessments.</t>
  </si>
  <si>
    <r>
      <t xml:space="preserve">Michigan Integrated Report (305(b) and 303(d)) designated use support status </t>
    </r>
    <r>
      <rPr>
        <i/>
        <sz val="10"/>
        <color rgb="FF212121"/>
        <rFont val="Arial"/>
        <family val="2"/>
      </rPr>
      <t>(Note: impairments with atmospheric deposition as a source should be excluded*)</t>
    </r>
  </si>
  <si>
    <t>Proposed/ Reference Stream Type:</t>
  </si>
  <si>
    <t xml:space="preserve">* Refer to user manual for more detail on atmospheric sources of impairment. </t>
  </si>
  <si>
    <t>RBI &lt;25% quartile value or &gt;75% quartile value.</t>
  </si>
  <si>
    <t>RBI declining over time and approaching 25% quartile value, or increasing and approaching the 75% quartile value.</t>
  </si>
  <si>
    <t xml:space="preserve">RBI ≥ 25% quartile value and ≤75% quartile value. </t>
  </si>
  <si>
    <t>&gt;80% of contributing stream length has &gt;25 ft corridor width.</t>
  </si>
  <si>
    <t>50-80% of contributing stream length has &gt;25 ft corridor width.</t>
  </si>
  <si>
    <t>&lt;50% of contributing stream length has &gt;25 ft corridor width.</t>
  </si>
  <si>
    <t>High sediment supply from upstream bank erosion and surface runoff.</t>
  </si>
  <si>
    <t>Moderate sediment supply from upstream bank erosion and surface runoff.</t>
  </si>
  <si>
    <t>Low sediment supply. Upstream bank erosion and surface runoff is minimal.</t>
  </si>
  <si>
    <t>No adjacent waterbodies listed as not supporting a designated use (i.e., all designated uses either unassessed or in Category 1, 2, or 3).</t>
  </si>
  <si>
    <t>On or immediately upstream or downstream of a waterbody in Category 4a or 4b (i.e., active mitigation of designated use impairment through approved TMDL or other control mechanisms).</t>
  </si>
  <si>
    <t>On or immediately upstream or downstream of a waterbody in Category 5 OR in Category 4c (i.e., designated use impairment not actively being mitigated).</t>
  </si>
  <si>
    <t>Potential for concentrated flow/impairments immediately upstream of the project and no treatments are in place.</t>
  </si>
  <si>
    <t>Some potential for concentrated flow/impairments to reach restoration site, however, measures are in place to protect resources.</t>
  </si>
  <si>
    <t>No potential for concentrated flow/impairments from adjacent land use.</t>
  </si>
  <si>
    <t>VL/VL</t>
  </si>
  <si>
    <t>VL/L</t>
  </si>
  <si>
    <t>VL/M</t>
  </si>
  <si>
    <t>VL/H</t>
  </si>
  <si>
    <t>VL/VH</t>
  </si>
  <si>
    <t>VL/Ex</t>
  </si>
  <si>
    <t>Coefficients - Y = a  * X + b</t>
  </si>
  <si>
    <t>Silt/Clay</t>
  </si>
  <si>
    <t>Cobble</t>
  </si>
  <si>
    <t>Boulder</t>
  </si>
  <si>
    <t>Bedrock</t>
  </si>
  <si>
    <t>Pool Spacing Ratio for C and E Streams</t>
  </si>
  <si>
    <t>Rising Limb</t>
  </si>
  <si>
    <t>Falling Limb</t>
  </si>
  <si>
    <t>Pool Spacing Ratio for A and B Streams</t>
  </si>
  <si>
    <t>Pool Spacing Ratio for Bc Streams</t>
  </si>
  <si>
    <t>Percent Riffle for A and B Streams</t>
  </si>
  <si>
    <t xml:space="preserve">Percent Riffle for C and E Stream Types </t>
  </si>
  <si>
    <t>Y = a * ln(X) + b</t>
  </si>
  <si>
    <t>Coefficients</t>
  </si>
  <si>
    <t xml:space="preserve">Y = a * X + b </t>
  </si>
  <si>
    <t>Ecoregion:</t>
  </si>
  <si>
    <t>Eastern Corn Belt Plains</t>
  </si>
  <si>
    <t>Huron Erie Lake Plains &amp; Eastern Corn Belt Plains</t>
  </si>
  <si>
    <t>Southern Michigan/ Northern Indiana Drift Plains</t>
  </si>
  <si>
    <t>Southern Michigan/Northern Indiana Drift Plains</t>
  </si>
  <si>
    <t xml:space="preserve">This sheet is locked to prevent editing. If you have suggested changes based on project- or watershed-specific data, please contact your local permitting agency or client. </t>
  </si>
  <si>
    <t>Michigan Department of Environment, Great Lakes, and Energy</t>
  </si>
  <si>
    <t>Formulas and coefficients are listed above each plot where coefficients (a, b, c, etc.) are used to calculate index values on the Quantification Tool worksheet. Y is the index value and X is the field value.</t>
  </si>
  <si>
    <r>
      <t>Proposed FFS - Existing FFS (</t>
    </r>
    <r>
      <rPr>
        <sz val="12"/>
        <color theme="1"/>
        <rFont val="Grotesque"/>
        <family val="2"/>
      </rPr>
      <t>∆FF)</t>
    </r>
  </si>
  <si>
    <t>Yield (∆FF/Proposed LF)</t>
  </si>
  <si>
    <t>Buffer Width (ft)</t>
  </si>
  <si>
    <t>Percent Streambank Armoring (%)</t>
  </si>
  <si>
    <t>Percent Riffle (%)</t>
  </si>
  <si>
    <t>Concentrated Flow Points (#/1000 LF)</t>
  </si>
  <si>
    <t>FAR</t>
  </si>
  <si>
    <t>Buffer Width</t>
  </si>
  <si>
    <t>Herbaceous Cover</t>
  </si>
  <si>
    <t>Total Phosphorus - Huron Erie Lake Plains &amp; Eastern Corn Belt Plains</t>
  </si>
  <si>
    <t>Total Phosphorus - Forests and Drift Plains</t>
  </si>
  <si>
    <t>Effective Impervious Cover (%)</t>
  </si>
  <si>
    <t>Site Information and 
Reference Standard Stratification</t>
  </si>
  <si>
    <t>Metric</t>
  </si>
  <si>
    <t>Forested</t>
  </si>
  <si>
    <t>Scrub-shrub</t>
  </si>
  <si>
    <t>Scrub-Shrub</t>
  </si>
  <si>
    <t>Coefficients - Y = a *  X + b</t>
  </si>
  <si>
    <t>Reference Vegetation Community:</t>
  </si>
  <si>
    <t>Reference Vegetation Community</t>
  </si>
  <si>
    <t>Herbaceous</t>
  </si>
  <si>
    <t>Native Herbaceous Cover (%)</t>
  </si>
  <si>
    <t>Average DBH (Inches)</t>
  </si>
  <si>
    <t>Tree Density (#/Ac)</t>
  </si>
  <si>
    <t>US Army Corps of Engineers</t>
  </si>
  <si>
    <t>US Forest Service</t>
  </si>
  <si>
    <t>US Fish and Wildlife Service</t>
  </si>
  <si>
    <t>Reach ID(s):</t>
  </si>
  <si>
    <t>NF/FAR</t>
  </si>
  <si>
    <t>FAR/NF</t>
  </si>
  <si>
    <t>Effective Impervious Cover (BMP Runoff)</t>
  </si>
  <si>
    <t>Average DBH (in)</t>
  </si>
  <si>
    <t>Tree Density (#/Acre)</t>
  </si>
  <si>
    <t>Native Shrub Density</t>
  </si>
  <si>
    <t>Strahler Stream Order:</t>
  </si>
  <si>
    <t>FUNCTION-BASED PARAMETER SUMMARY</t>
  </si>
  <si>
    <t>BMP ID:</t>
  </si>
  <si>
    <t>Basin Area treated by BMP (Ac):</t>
  </si>
  <si>
    <t>Effective Stream Length (ft):</t>
  </si>
  <si>
    <t>Strahler Stream Order</t>
  </si>
  <si>
    <t>First</t>
  </si>
  <si>
    <t>Second</t>
  </si>
  <si>
    <t>Third</t>
  </si>
  <si>
    <t>Fourth or greater</t>
  </si>
  <si>
    <t>3. Leave values blank for field values that were not measured and/or autopopulate</t>
  </si>
  <si>
    <t>Restoration</t>
  </si>
  <si>
    <t>Violations/Damage Settlements</t>
  </si>
  <si>
    <t>TMDL - nutrient or sediment related</t>
  </si>
  <si>
    <t>Restoration Potential</t>
  </si>
  <si>
    <t>Fish - P51 Wadeable &amp; Warm and Warm-transitional Water</t>
  </si>
  <si>
    <t>Existing Condition Score (ECS)</t>
  </si>
  <si>
    <t>Optional. Use where project is large enough to show lift.</t>
  </si>
  <si>
    <t>BMP 1</t>
  </si>
  <si>
    <t>E. Coli (cfu/100 ml)</t>
  </si>
  <si>
    <t>DO Concentration (mg/L)</t>
  </si>
  <si>
    <t>Macroinvertebrate P51 Index Score</t>
  </si>
  <si>
    <t>Macroinvertebrate P22 Index Score</t>
  </si>
  <si>
    <t>Fish P51 Index Score</t>
  </si>
  <si>
    <t>Native Shrub/Sapling Density (#/Ac)</t>
  </si>
  <si>
    <t xml:space="preserve">Values are calculated using EPA's Region 5 model unless multiple BMPs are proposed in series, then the applicant should use STEPL. </t>
  </si>
  <si>
    <t>Drainage Area (sq. mi.):</t>
  </si>
  <si>
    <t>Bed Material:</t>
  </si>
  <si>
    <t>Grand Traverse Band of Ottawa and Chippewa Indians</t>
  </si>
  <si>
    <t>Michigan Department of Natural Resources, Fisheries Division</t>
  </si>
  <si>
    <t>US Environmental Protection Agency, Region 5</t>
  </si>
  <si>
    <t>Great Lakes Fishery Commission</t>
  </si>
  <si>
    <t xml:space="preserve">Version 1 </t>
  </si>
  <si>
    <t>Required for all assessments. In multi-thread systems, BHR is applicable but the ER is not applicable.</t>
  </si>
  <si>
    <t xml:space="preserve">Required for all assessments. The percent armoring metric should be used in addition to the other metrics when armoring techniques are present or proposed in the project reach. </t>
  </si>
  <si>
    <r>
      <t xml:space="preserve">The following table is provided to assist project owners, regulators  and practitioners in selecting the appropriate parameters for each stream restoration project. All parameters would rarely, if ever, be used for a single project. The scenarios below show when each parameter could be used. Note, if a parameter is selected, it must be assessed for the </t>
    </r>
    <r>
      <rPr>
        <b/>
        <sz val="11"/>
        <color theme="1"/>
        <rFont val="Calibri"/>
        <family val="2"/>
        <scheme val="minor"/>
      </rPr>
      <t>existing and proposed condition</t>
    </r>
    <r>
      <rPr>
        <sz val="11"/>
        <color theme="1"/>
        <rFont val="Calibri"/>
        <family val="2"/>
        <scheme val="minor"/>
      </rPr>
      <t xml:space="preserve">. 
</t>
    </r>
    <r>
      <rPr>
        <b/>
        <sz val="11"/>
        <color theme="1"/>
        <rFont val="Calibri"/>
        <family val="2"/>
        <scheme val="minor"/>
      </rPr>
      <t xml:space="preserve">Unless otherwise noted, all metrics should be used to assess the parameter. </t>
    </r>
  </si>
  <si>
    <t xml:space="preserve">Required for all assessments. The buffer width metric is evaluated at all sites. The rest of the metric selection is performed based on the reference (pre-settlement) vegetation community. Refer to the user manual. </t>
  </si>
  <si>
    <t xml:space="preserve">Required for all assessments except in multi-thread channels or naturally straight sand-bed channels where the bedforms are created by large wood. The aggradation ratio metric is optional; it is recommended for meandering single-thread stream types in transport settings where the riffles are exhibiting signs of aggradation. </t>
  </si>
  <si>
    <t>Optional for all partial restoration potential projects. 
Required for full restoration potential projects. Reference standards are only available for wadeable and warm or warm-transitional streams.</t>
  </si>
  <si>
    <t>Any optional parameter or metric may be required by the regulating agency on a case-by-case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</si>
</sst>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0"/>
    <numFmt numFmtId="166" formatCode="0.000"/>
  </numFmts>
  <fonts count="28" x14ac:knownFonts="1">
    <font>
      <sz val="11"/>
      <color theme="1"/>
      <name val="Calibri"/>
      <family val="2"/>
      <scheme val="minor"/>
    </font>
    <font>
      <b/>
      <sz val="11"/>
      <color theme="1"/>
      <name val="Calibri"/>
      <family val="2"/>
      <scheme val="minor"/>
    </font>
    <font>
      <sz val="10"/>
      <name val="Arial"/>
      <family val="2"/>
    </font>
    <font>
      <b/>
      <sz val="14"/>
      <name val="Arial"/>
      <family val="2"/>
    </font>
    <font>
      <sz val="11"/>
      <name val="Arial"/>
      <family val="2"/>
    </font>
    <font>
      <b/>
      <sz val="12"/>
      <name val="Arial"/>
      <family val="2"/>
    </font>
    <font>
      <b/>
      <sz val="13"/>
      <color theme="1"/>
      <name val="Calibri"/>
      <family val="2"/>
      <scheme val="minor"/>
    </font>
    <font>
      <b/>
      <sz val="15"/>
      <color theme="1"/>
      <name val="Calibri"/>
      <family val="2"/>
      <scheme val="minor"/>
    </font>
    <font>
      <sz val="11"/>
      <name val="Calibri"/>
      <family val="2"/>
      <scheme val="minor"/>
    </font>
    <font>
      <b/>
      <sz val="14"/>
      <color theme="1"/>
      <name val="Calibri"/>
      <family val="2"/>
      <scheme val="minor"/>
    </font>
    <font>
      <sz val="22"/>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4"/>
      <color theme="1"/>
      <name val="Calibri"/>
      <family val="2"/>
      <scheme val="minor"/>
    </font>
    <font>
      <sz val="11"/>
      <color theme="1"/>
      <name val="Calibri"/>
      <family val="2"/>
      <scheme val="minor"/>
    </font>
    <font>
      <sz val="18"/>
      <color rgb="FFFF0000"/>
      <name val="Calibri"/>
      <family val="2"/>
      <scheme val="minor"/>
    </font>
    <font>
      <sz val="10"/>
      <name val="Calibri"/>
      <family val="2"/>
    </font>
    <font>
      <sz val="8"/>
      <name val="Arial"/>
      <family val="2"/>
    </font>
    <font>
      <i/>
      <sz val="10"/>
      <color rgb="FF212121"/>
      <name val="Arial"/>
      <family val="2"/>
    </font>
    <font>
      <i/>
      <sz val="10"/>
      <name val="Arial"/>
      <family val="2"/>
    </font>
    <font>
      <sz val="12"/>
      <color theme="1"/>
      <name val="Grotesque"/>
      <family val="2"/>
    </font>
    <font>
      <b/>
      <sz val="11"/>
      <name val="Arial"/>
      <family val="2"/>
    </font>
    <font>
      <sz val="12"/>
      <name val="Arial"/>
      <family val="2"/>
    </font>
    <font>
      <sz val="9"/>
      <color indexed="81"/>
      <name val="Tahoma"/>
      <family val="2"/>
    </font>
  </fonts>
  <fills count="1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hair">
        <color indexed="64"/>
      </left>
      <right style="hair">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
    <xf numFmtId="0" fontId="0" fillId="0" borderId="0"/>
    <xf numFmtId="0" fontId="2" fillId="0" borderId="0"/>
    <xf numFmtId="9" fontId="18" fillId="0" borderId="0" applyFont="0" applyFill="0" applyBorder="0" applyAlignment="0" applyProtection="0"/>
    <xf numFmtId="0" fontId="18" fillId="13" borderId="0" applyNumberFormat="0" applyBorder="0" applyAlignment="0" applyProtection="0"/>
    <xf numFmtId="44" fontId="18" fillId="0" borderId="0" applyFont="0" applyFill="0" applyBorder="0" applyAlignment="0" applyProtection="0"/>
  </cellStyleXfs>
  <cellXfs count="511">
    <xf numFmtId="0" fontId="0" fillId="0" borderId="0" xfId="0"/>
    <xf numFmtId="0" fontId="0" fillId="0" borderId="0" xfId="0" applyAlignment="1">
      <alignment vertical="center" wrapText="1"/>
    </xf>
    <xf numFmtId="0" fontId="1" fillId="0" borderId="0" xfId="0" applyFont="1"/>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5" xfId="0" applyFill="1" applyBorder="1" applyAlignment="1">
      <alignment vertical="center" wrapText="1"/>
    </xf>
    <xf numFmtId="0" fontId="0" fillId="3" borderId="5"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0" borderId="0" xfId="0" applyAlignment="1">
      <alignment horizontal="center"/>
    </xf>
    <xf numFmtId="0" fontId="0" fillId="0" borderId="0" xfId="0" applyAlignment="1">
      <alignment vertical="center"/>
    </xf>
    <xf numFmtId="2" fontId="0" fillId="0" borderId="0" xfId="0" applyNumberFormat="1"/>
    <xf numFmtId="0" fontId="5" fillId="6" borderId="19" xfId="1" applyFont="1" applyFill="1" applyBorder="1" applyAlignment="1">
      <alignment vertical="center" wrapText="1"/>
    </xf>
    <xf numFmtId="0" fontId="5" fillId="6" borderId="22" xfId="1" applyFont="1" applyFill="1" applyBorder="1" applyAlignment="1">
      <alignment vertical="center" wrapText="1"/>
    </xf>
    <xf numFmtId="0" fontId="4" fillId="6" borderId="29" xfId="1" applyFont="1" applyFill="1" applyBorder="1" applyAlignment="1">
      <alignment vertical="center"/>
    </xf>
    <xf numFmtId="0" fontId="6" fillId="0" borderId="0" xfId="0" applyFont="1"/>
    <xf numFmtId="0" fontId="2" fillId="0" borderId="0" xfId="1"/>
    <xf numFmtId="0" fontId="2" fillId="6" borderId="23" xfId="1" applyFill="1" applyBorder="1"/>
    <xf numFmtId="0" fontId="2" fillId="6" borderId="24" xfId="1" applyFill="1" applyBorder="1"/>
    <xf numFmtId="0" fontId="2" fillId="0" borderId="27" xfId="1" applyBorder="1" applyAlignment="1">
      <alignment horizontal="center" vertical="center" wrapText="1"/>
    </xf>
    <xf numFmtId="0" fontId="2" fillId="0" borderId="13" xfId="1" applyBorder="1" applyAlignment="1">
      <alignment horizontal="center" vertical="center" wrapText="1"/>
    </xf>
    <xf numFmtId="0" fontId="2" fillId="6" borderId="28" xfId="1" applyFill="1" applyBorder="1"/>
    <xf numFmtId="0" fontId="2" fillId="6" borderId="29" xfId="1" applyFill="1" applyBorder="1"/>
    <xf numFmtId="0" fontId="2" fillId="6" borderId="30" xfId="1" applyFill="1" applyBorder="1"/>
    <xf numFmtId="2" fontId="1" fillId="0" borderId="0" xfId="0" applyNumberFormat="1" applyFont="1" applyAlignment="1">
      <alignment horizontal="center"/>
    </xf>
    <xf numFmtId="0" fontId="5" fillId="6" borderId="21"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2" fillId="0" borderId="33" xfId="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wrapText="1"/>
    </xf>
    <xf numFmtId="0" fontId="0" fillId="7" borderId="7" xfId="0" applyFill="1" applyBorder="1" applyAlignment="1">
      <alignment horizontal="left" vertical="center"/>
    </xf>
    <xf numFmtId="0" fontId="0" fillId="9" borderId="7" xfId="0" applyFill="1" applyBorder="1" applyAlignment="1">
      <alignment horizontal="left" vertical="center"/>
    </xf>
    <xf numFmtId="0" fontId="0" fillId="10" borderId="7" xfId="0" applyFill="1" applyBorder="1" applyAlignment="1">
      <alignment horizontal="left" vertical="center"/>
    </xf>
    <xf numFmtId="0" fontId="0" fillId="10" borderId="9" xfId="0" applyFill="1" applyBorder="1" applyAlignment="1">
      <alignment horizontal="left" vertical="center"/>
    </xf>
    <xf numFmtId="0" fontId="0" fillId="0" borderId="42" xfId="0" applyBorder="1" applyAlignment="1">
      <alignment vertical="center" wrapText="1"/>
    </xf>
    <xf numFmtId="0" fontId="8" fillId="0" borderId="2" xfId="0" applyFont="1" applyBorder="1" applyAlignment="1">
      <alignment vertical="center" wrapText="1"/>
    </xf>
    <xf numFmtId="0" fontId="0" fillId="10" borderId="39" xfId="0" applyFill="1" applyBorder="1" applyAlignment="1">
      <alignment horizontal="left" vertical="center"/>
    </xf>
    <xf numFmtId="0" fontId="0" fillId="11" borderId="9" xfId="0" applyFill="1" applyBorder="1" applyAlignment="1">
      <alignment horizontal="left" vertical="center"/>
    </xf>
    <xf numFmtId="0" fontId="0" fillId="9" borderId="39" xfId="0" applyFill="1" applyBorder="1" applyAlignment="1">
      <alignment horizontal="left" vertical="center"/>
    </xf>
    <xf numFmtId="0" fontId="0" fillId="9" borderId="8" xfId="0" applyFill="1" applyBorder="1" applyAlignment="1">
      <alignment horizontal="left" vertical="center"/>
    </xf>
    <xf numFmtId="0" fontId="0" fillId="8" borderId="8" xfId="0" applyFill="1" applyBorder="1" applyAlignment="1">
      <alignment horizontal="left" vertical="center"/>
    </xf>
    <xf numFmtId="0" fontId="1" fillId="12" borderId="7" xfId="0" applyFont="1" applyFill="1" applyBorder="1"/>
    <xf numFmtId="0" fontId="0" fillId="11" borderId="7" xfId="0" applyFill="1" applyBorder="1" applyAlignment="1">
      <alignment horizontal="left" vertical="center"/>
    </xf>
    <xf numFmtId="0" fontId="0" fillId="0" borderId="48" xfId="0" applyBorder="1"/>
    <xf numFmtId="0" fontId="13" fillId="0" borderId="7" xfId="0" applyFont="1" applyBorder="1"/>
    <xf numFmtId="0" fontId="13" fillId="6" borderId="7" xfId="0" applyFont="1" applyFill="1" applyBorder="1" applyAlignment="1" applyProtection="1">
      <alignment horizontal="center"/>
      <protection locked="0"/>
    </xf>
    <xf numFmtId="0" fontId="13" fillId="0" borderId="7" xfId="0" applyFont="1" applyBorder="1" applyAlignment="1">
      <alignment horizontal="center"/>
    </xf>
    <xf numFmtId="1" fontId="13" fillId="0" borderId="7" xfId="0" applyNumberFormat="1" applyFont="1" applyBorder="1" applyAlignment="1">
      <alignment horizontal="center"/>
    </xf>
    <xf numFmtId="2" fontId="13" fillId="0" borderId="7" xfId="0" applyNumberFormat="1" applyFont="1" applyBorder="1" applyAlignment="1">
      <alignment horizontal="center"/>
    </xf>
    <xf numFmtId="0" fontId="14" fillId="0" borderId="7" xfId="0" applyFont="1" applyBorder="1" applyAlignment="1">
      <alignment horizontal="center"/>
    </xf>
    <xf numFmtId="0" fontId="13" fillId="7" borderId="7" xfId="0" applyFont="1" applyFill="1" applyBorder="1" applyAlignment="1">
      <alignment horizontal="left" vertical="center"/>
    </xf>
    <xf numFmtId="0" fontId="13" fillId="7" borderId="11" xfId="0" applyFont="1" applyFill="1" applyBorder="1"/>
    <xf numFmtId="0" fontId="13" fillId="7" borderId="36" xfId="0" applyFont="1" applyFill="1" applyBorder="1"/>
    <xf numFmtId="0" fontId="13" fillId="8" borderId="0" xfId="0" applyFont="1" applyFill="1"/>
    <xf numFmtId="0" fontId="13" fillId="9" borderId="0" xfId="0" applyFont="1" applyFill="1"/>
    <xf numFmtId="0" fontId="15" fillId="9" borderId="0" xfId="0" applyFont="1" applyFill="1"/>
    <xf numFmtId="0" fontId="13" fillId="9" borderId="21" xfId="0" applyFont="1" applyFill="1" applyBorder="1"/>
    <xf numFmtId="0" fontId="13" fillId="9" borderId="31" xfId="0" applyFont="1" applyFill="1" applyBorder="1"/>
    <xf numFmtId="0" fontId="13" fillId="9" borderId="37" xfId="0" applyFont="1" applyFill="1" applyBorder="1"/>
    <xf numFmtId="0" fontId="13" fillId="9" borderId="40" xfId="0" applyFont="1" applyFill="1" applyBorder="1"/>
    <xf numFmtId="0" fontId="13" fillId="9" borderId="36" xfId="0" applyFont="1" applyFill="1" applyBorder="1"/>
    <xf numFmtId="0" fontId="13" fillId="10" borderId="0" xfId="0" applyFont="1" applyFill="1"/>
    <xf numFmtId="0" fontId="13" fillId="10" borderId="7" xfId="0" applyFont="1" applyFill="1" applyBorder="1" applyAlignment="1">
      <alignment horizontal="left" vertical="center"/>
    </xf>
    <xf numFmtId="0" fontId="13" fillId="10" borderId="11" xfId="0" applyFont="1" applyFill="1" applyBorder="1"/>
    <xf numFmtId="0" fontId="13" fillId="11" borderId="36" xfId="0" applyFont="1" applyFill="1" applyBorder="1"/>
    <xf numFmtId="0" fontId="14" fillId="0" borderId="7" xfId="0" applyFont="1" applyBorder="1"/>
    <xf numFmtId="2" fontId="13" fillId="0" borderId="43" xfId="0" applyNumberFormat="1" applyFont="1" applyBorder="1" applyAlignment="1">
      <alignment horizontal="center"/>
    </xf>
    <xf numFmtId="0" fontId="0" fillId="0" borderId="52" xfId="0" applyBorder="1"/>
    <xf numFmtId="0" fontId="0" fillId="0" borderId="47" xfId="0" applyBorder="1"/>
    <xf numFmtId="0" fontId="12" fillId="0" borderId="0" xfId="0" applyFont="1"/>
    <xf numFmtId="0" fontId="13" fillId="7" borderId="7" xfId="0" applyFont="1" applyFill="1" applyBorder="1" applyAlignment="1">
      <alignment horizontal="left"/>
    </xf>
    <xf numFmtId="0" fontId="13" fillId="8" borderId="7" xfId="0" applyFont="1" applyFill="1" applyBorder="1" applyAlignment="1">
      <alignment horizontal="left"/>
    </xf>
    <xf numFmtId="0" fontId="13" fillId="9" borderId="7" xfId="0" applyFont="1" applyFill="1" applyBorder="1" applyAlignment="1">
      <alignment horizontal="left"/>
    </xf>
    <xf numFmtId="0" fontId="13" fillId="11" borderId="7" xfId="0" applyFont="1" applyFill="1" applyBorder="1" applyAlignment="1">
      <alignment horizontal="left"/>
    </xf>
    <xf numFmtId="164" fontId="0" fillId="0" borderId="2" xfId="0" applyNumberFormat="1" applyBorder="1" applyAlignment="1">
      <alignment vertical="center" wrapText="1"/>
    </xf>
    <xf numFmtId="2" fontId="13" fillId="9" borderId="39" xfId="0" applyNumberFormat="1" applyFont="1" applyFill="1" applyBorder="1" applyAlignment="1">
      <alignment horizontal="center"/>
    </xf>
    <xf numFmtId="2" fontId="13" fillId="10" borderId="8" xfId="0" applyNumberFormat="1" applyFont="1" applyFill="1" applyBorder="1" applyAlignment="1">
      <alignment horizontal="center"/>
    </xf>
    <xf numFmtId="2" fontId="13" fillId="10" borderId="7" xfId="0" applyNumberFormat="1" applyFont="1" applyFill="1" applyBorder="1" applyAlignment="1">
      <alignment horizontal="center"/>
    </xf>
    <xf numFmtId="2" fontId="13" fillId="10" borderId="39" xfId="0" applyNumberFormat="1" applyFont="1" applyFill="1" applyBorder="1" applyAlignment="1">
      <alignment horizontal="center"/>
    </xf>
    <xf numFmtId="2" fontId="13" fillId="11" borderId="9" xfId="0" applyNumberFormat="1" applyFont="1" applyFill="1" applyBorder="1" applyAlignment="1">
      <alignment horizontal="center"/>
    </xf>
    <xf numFmtId="1" fontId="0" fillId="0" borderId="2" xfId="0" applyNumberFormat="1" applyBorder="1" applyAlignment="1">
      <alignment vertical="center" wrapText="1"/>
    </xf>
    <xf numFmtId="0" fontId="0" fillId="0" borderId="0" xfId="0" applyAlignment="1">
      <alignment horizontal="left"/>
    </xf>
    <xf numFmtId="165" fontId="0" fillId="0" borderId="2" xfId="0" applyNumberFormat="1" applyBorder="1"/>
    <xf numFmtId="1" fontId="0" fillId="0" borderId="0" xfId="0" applyNumberFormat="1" applyAlignment="1">
      <alignment vertical="center" wrapText="1"/>
    </xf>
    <xf numFmtId="1" fontId="0" fillId="0" borderId="0" xfId="0" applyNumberFormat="1"/>
    <xf numFmtId="0" fontId="13" fillId="0" borderId="0" xfId="0" applyFont="1" applyAlignment="1">
      <alignment horizontal="left"/>
    </xf>
    <xf numFmtId="0" fontId="13" fillId="0" borderId="0" xfId="0" applyFont="1"/>
    <xf numFmtId="0" fontId="0" fillId="0" borderId="11" xfId="0" applyBorder="1"/>
    <xf numFmtId="0" fontId="0" fillId="0" borderId="12" xfId="0" applyBorder="1"/>
    <xf numFmtId="0" fontId="12" fillId="0" borderId="0" xfId="0" applyFont="1" applyAlignment="1">
      <alignment horizontal="center" vertical="center"/>
    </xf>
    <xf numFmtId="0" fontId="14" fillId="0" borderId="0" xfId="0" applyFont="1" applyAlignment="1">
      <alignment horizontal="center" vertical="center" wrapText="1"/>
    </xf>
    <xf numFmtId="2" fontId="13" fillId="0" borderId="0" xfId="0" applyNumberFormat="1" applyFont="1" applyAlignment="1">
      <alignment horizontal="center"/>
    </xf>
    <xf numFmtId="0" fontId="13" fillId="10" borderId="40" xfId="0" applyFont="1" applyFill="1" applyBorder="1"/>
    <xf numFmtId="0" fontId="10" fillId="0" borderId="0" xfId="0" applyFont="1" applyAlignment="1">
      <alignment vertical="center"/>
    </xf>
    <xf numFmtId="0" fontId="14" fillId="0" borderId="0" xfId="0" applyFont="1"/>
    <xf numFmtId="2" fontId="0" fillId="0" borderId="2" xfId="0" applyNumberFormat="1" applyBorder="1" applyAlignment="1">
      <alignment vertical="center" wrapText="1"/>
    </xf>
    <xf numFmtId="2" fontId="0" fillId="0" borderId="3" xfId="0" applyNumberFormat="1" applyBorder="1" applyAlignment="1">
      <alignment vertical="center" wrapText="1"/>
    </xf>
    <xf numFmtId="0" fontId="13" fillId="11" borderId="21" xfId="0" applyFont="1" applyFill="1" applyBorder="1"/>
    <xf numFmtId="0" fontId="13" fillId="11" borderId="40" xfId="0" applyFont="1" applyFill="1" applyBorder="1"/>
    <xf numFmtId="0" fontId="13" fillId="11" borderId="37" xfId="0" applyFont="1" applyFill="1" applyBorder="1"/>
    <xf numFmtId="164" fontId="0" fillId="0" borderId="0" xfId="0" applyNumberFormat="1" applyAlignment="1">
      <alignment vertical="center" wrapText="1"/>
    </xf>
    <xf numFmtId="0" fontId="7" fillId="0" borderId="0" xfId="0" applyFont="1" applyAlignment="1">
      <alignment vertical="center"/>
    </xf>
    <xf numFmtId="0" fontId="0" fillId="0" borderId="2" xfId="0" applyBorder="1"/>
    <xf numFmtId="0" fontId="0" fillId="3" borderId="5" xfId="0" applyFill="1" applyBorder="1"/>
    <xf numFmtId="0" fontId="13" fillId="6" borderId="8" xfId="0" applyFont="1" applyFill="1" applyBorder="1" applyAlignment="1" applyProtection="1">
      <alignment horizontal="center"/>
      <protection locked="0"/>
    </xf>
    <xf numFmtId="0" fontId="13" fillId="7" borderId="40" xfId="0" applyFont="1" applyFill="1" applyBorder="1"/>
    <xf numFmtId="0" fontId="13" fillId="7" borderId="21" xfId="0" applyFont="1" applyFill="1" applyBorder="1"/>
    <xf numFmtId="0" fontId="13" fillId="7" borderId="37" xfId="0" applyFont="1" applyFill="1" applyBorder="1"/>
    <xf numFmtId="0" fontId="0" fillId="0" borderId="41" xfId="0" applyBorder="1"/>
    <xf numFmtId="0" fontId="0" fillId="0" borderId="42" xfId="0" applyBorder="1"/>
    <xf numFmtId="0" fontId="13" fillId="10" borderId="39" xfId="0" applyFont="1" applyFill="1" applyBorder="1" applyAlignment="1">
      <alignment horizontal="left" vertical="center"/>
    </xf>
    <xf numFmtId="0" fontId="13" fillId="11" borderId="9" xfId="0" applyFont="1" applyFill="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0" fontId="9" fillId="0" borderId="0" xfId="0" applyFont="1" applyAlignment="1">
      <alignment vertical="center"/>
    </xf>
    <xf numFmtId="0" fontId="17" fillId="0" borderId="0" xfId="0" applyFont="1"/>
    <xf numFmtId="2" fontId="13" fillId="14" borderId="7" xfId="0" applyNumberFormat="1" applyFont="1" applyFill="1" applyBorder="1" applyAlignment="1">
      <alignment horizont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3" fillId="8" borderId="7" xfId="0" applyFont="1" applyFill="1" applyBorder="1" applyAlignment="1">
      <alignment horizontal="center"/>
    </xf>
    <xf numFmtId="0" fontId="14" fillId="0" borderId="12" xfId="0" applyFont="1" applyBorder="1" applyAlignment="1">
      <alignment horizontal="center"/>
    </xf>
    <xf numFmtId="0" fontId="13" fillId="6" borderId="39" xfId="0" applyFont="1" applyFill="1" applyBorder="1" applyAlignment="1" applyProtection="1">
      <alignment horizontal="center"/>
      <protection locked="0"/>
    </xf>
    <xf numFmtId="0" fontId="13" fillId="6" borderId="9" xfId="0" applyFont="1" applyFill="1" applyBorder="1" applyAlignment="1" applyProtection="1">
      <alignment horizontal="center"/>
      <protection locked="0"/>
    </xf>
    <xf numFmtId="0" fontId="13" fillId="9" borderId="38" xfId="0" applyFont="1" applyFill="1" applyBorder="1"/>
    <xf numFmtId="0" fontId="12" fillId="0" borderId="11" xfId="0" applyFont="1" applyBorder="1"/>
    <xf numFmtId="0" fontId="12" fillId="0" borderId="12" xfId="0" applyFont="1" applyBorder="1"/>
    <xf numFmtId="0" fontId="12" fillId="0" borderId="10" xfId="0" applyFont="1" applyBorder="1" applyAlignment="1">
      <alignment horizontal="right"/>
    </xf>
    <xf numFmtId="0" fontId="12" fillId="6" borderId="7" xfId="0" applyFont="1" applyFill="1" applyBorder="1" applyAlignment="1" applyProtection="1">
      <alignment horizontal="center"/>
      <protection locked="0"/>
    </xf>
    <xf numFmtId="0" fontId="12" fillId="16" borderId="11" xfId="0" applyFont="1" applyFill="1" applyBorder="1" applyAlignment="1" applyProtection="1">
      <alignment horizontal="right"/>
      <protection locked="0"/>
    </xf>
    <xf numFmtId="0" fontId="12" fillId="0" borderId="11" xfId="0" applyFont="1" applyBorder="1" applyProtection="1">
      <protection locked="0"/>
    </xf>
    <xf numFmtId="0" fontId="12" fillId="0" borderId="12" xfId="0" applyFont="1" applyBorder="1" applyProtection="1">
      <protection locked="0"/>
    </xf>
    <xf numFmtId="0" fontId="11" fillId="0" borderId="0" xfId="0" applyFont="1"/>
    <xf numFmtId="0" fontId="0" fillId="0" borderId="4" xfId="0" applyBorder="1"/>
    <xf numFmtId="0" fontId="0" fillId="0" borderId="5" xfId="0" applyBorder="1"/>
    <xf numFmtId="0" fontId="0" fillId="0" borderId="6" xfId="0" applyBorder="1"/>
    <xf numFmtId="0" fontId="13" fillId="10" borderId="12" xfId="0" applyFont="1" applyFill="1" applyBorder="1" applyAlignment="1">
      <alignment vertical="center"/>
    </xf>
    <xf numFmtId="0" fontId="0" fillId="0" borderId="2" xfId="3" applyFont="1" applyFill="1" applyBorder="1" applyAlignment="1">
      <alignment horizontal="right" vertical="center"/>
    </xf>
    <xf numFmtId="1" fontId="0" fillId="0" borderId="3" xfId="3" applyNumberFormat="1" applyFont="1" applyFill="1" applyBorder="1" applyAlignment="1">
      <alignment horizontal="right" vertical="center"/>
    </xf>
    <xf numFmtId="0" fontId="0" fillId="2" borderId="5" xfId="0" applyFill="1" applyBorder="1" applyAlignment="1">
      <alignment horizontal="right" vertical="center" wrapText="1"/>
    </xf>
    <xf numFmtId="0" fontId="0" fillId="3" borderId="5" xfId="0" applyFill="1" applyBorder="1" applyAlignment="1">
      <alignment horizontal="right" vertical="center" wrapText="1"/>
    </xf>
    <xf numFmtId="0" fontId="0" fillId="4" borderId="5" xfId="0" applyFill="1" applyBorder="1" applyAlignment="1">
      <alignment horizontal="right" vertical="center" wrapText="1"/>
    </xf>
    <xf numFmtId="0" fontId="0" fillId="4" borderId="6" xfId="0" applyFill="1" applyBorder="1" applyAlignment="1">
      <alignment horizontal="right" vertical="center" wrapText="1"/>
    </xf>
    <xf numFmtId="0" fontId="2" fillId="0" borderId="25" xfId="1" applyBorder="1" applyAlignment="1">
      <alignment vertical="center" wrapText="1"/>
    </xf>
    <xf numFmtId="0" fontId="2" fillId="0" borderId="25" xfId="1" applyBorder="1" applyAlignment="1">
      <alignment horizontal="center" vertical="center" wrapText="1"/>
    </xf>
    <xf numFmtId="0" fontId="2" fillId="0" borderId="26" xfId="1" applyBorder="1" applyAlignment="1">
      <alignment horizontal="center" vertical="center" wrapText="1"/>
    </xf>
    <xf numFmtId="0" fontId="2" fillId="0" borderId="49" xfId="1" applyBorder="1" applyAlignment="1">
      <alignment vertical="center" wrapText="1"/>
    </xf>
    <xf numFmtId="0" fontId="2" fillId="0" borderId="49" xfId="1" applyBorder="1" applyAlignment="1">
      <alignment horizontal="center" vertical="center" wrapText="1"/>
    </xf>
    <xf numFmtId="0" fontId="13" fillId="6" borderId="31" xfId="0" applyFont="1" applyFill="1" applyBorder="1" applyAlignment="1" applyProtection="1">
      <alignment horizontal="center"/>
      <protection locked="0"/>
    </xf>
    <xf numFmtId="0" fontId="13" fillId="6" borderId="21" xfId="0" applyFont="1" applyFill="1" applyBorder="1" applyAlignment="1" applyProtection="1">
      <alignment horizontal="center"/>
      <protection locked="0"/>
    </xf>
    <xf numFmtId="0" fontId="13" fillId="6" borderId="37" xfId="0" applyFont="1" applyFill="1" applyBorder="1" applyAlignment="1" applyProtection="1">
      <alignment horizontal="center"/>
      <protection locked="0"/>
    </xf>
    <xf numFmtId="0" fontId="0" fillId="0" borderId="55" xfId="0" applyBorder="1"/>
    <xf numFmtId="0" fontId="14" fillId="0" borderId="41" xfId="0" applyFont="1" applyBorder="1" applyAlignment="1">
      <alignment horizontal="left"/>
    </xf>
    <xf numFmtId="0" fontId="14" fillId="0" borderId="0" xfId="0" applyFont="1" applyAlignment="1">
      <alignment horizontal="left"/>
    </xf>
    <xf numFmtId="0" fontId="13" fillId="10" borderId="7" xfId="0" applyFont="1" applyFill="1" applyBorder="1" applyAlignment="1">
      <alignment horizontal="left"/>
    </xf>
    <xf numFmtId="0" fontId="11" fillId="0" borderId="41" xfId="0" applyFont="1" applyBorder="1" applyAlignment="1">
      <alignment vertical="center" wrapText="1"/>
    </xf>
    <xf numFmtId="0" fontId="11" fillId="0" borderId="0" xfId="0" applyFont="1" applyAlignment="1">
      <alignment vertical="center" wrapText="1"/>
    </xf>
    <xf numFmtId="0" fontId="11" fillId="0" borderId="42" xfId="0" applyFont="1" applyBorder="1" applyAlignment="1">
      <alignment vertical="center" wrapText="1"/>
    </xf>
    <xf numFmtId="0" fontId="0" fillId="0" borderId="41" xfId="0" applyBorder="1" applyAlignment="1">
      <alignment vertical="center"/>
    </xf>
    <xf numFmtId="0" fontId="0" fillId="0" borderId="1" xfId="0" applyBorder="1" applyAlignment="1">
      <alignment vertical="center"/>
    </xf>
    <xf numFmtId="166" fontId="0" fillId="0" borderId="0" xfId="0" applyNumberFormat="1" applyAlignment="1">
      <alignment vertical="center" wrapText="1"/>
    </xf>
    <xf numFmtId="0" fontId="2" fillId="0" borderId="4" xfId="1" applyBorder="1" applyAlignment="1">
      <alignment horizontal="center" vertical="center" wrapText="1"/>
    </xf>
    <xf numFmtId="0" fontId="2" fillId="0" borderId="62" xfId="1" applyBorder="1" applyAlignment="1">
      <alignment horizontal="center" vertical="center" wrapText="1"/>
    </xf>
    <xf numFmtId="0" fontId="13" fillId="8" borderId="37" xfId="0" applyFont="1" applyFill="1" applyBorder="1"/>
    <xf numFmtId="0" fontId="13" fillId="8" borderId="38" xfId="0" applyFont="1" applyFill="1" applyBorder="1"/>
    <xf numFmtId="0" fontId="13" fillId="8" borderId="20" xfId="0" applyFont="1" applyFill="1" applyBorder="1"/>
    <xf numFmtId="166" fontId="0" fillId="0" borderId="2" xfId="0" applyNumberFormat="1" applyBorder="1" applyAlignment="1">
      <alignment vertical="center" wrapText="1"/>
    </xf>
    <xf numFmtId="0" fontId="13" fillId="10" borderId="10" xfId="0" applyFont="1" applyFill="1" applyBorder="1" applyAlignment="1">
      <alignment horizontal="left" vertical="center"/>
    </xf>
    <xf numFmtId="0" fontId="13" fillId="6" borderId="12" xfId="0" applyFont="1" applyFill="1" applyBorder="1" applyAlignment="1" applyProtection="1">
      <alignment horizontal="center"/>
      <protection locked="0"/>
    </xf>
    <xf numFmtId="1" fontId="8" fillId="0" borderId="2" xfId="0" applyNumberFormat="1" applyFont="1" applyBorder="1" applyAlignment="1">
      <alignment vertical="center" wrapText="1"/>
    </xf>
    <xf numFmtId="0" fontId="0" fillId="0" borderId="7" xfId="0" applyBorder="1"/>
    <xf numFmtId="0" fontId="0" fillId="0" borderId="7" xfId="0" applyBorder="1" applyAlignment="1">
      <alignment vertical="center" wrapText="1"/>
    </xf>
    <xf numFmtId="0" fontId="0" fillId="0" borderId="7" xfId="0" applyBorder="1" applyAlignment="1">
      <alignment wrapText="1"/>
    </xf>
    <xf numFmtId="0" fontId="2" fillId="0" borderId="1" xfId="1" applyBorder="1" applyAlignment="1">
      <alignment horizontal="center" vertical="center" wrapText="1"/>
    </xf>
    <xf numFmtId="0" fontId="2" fillId="0" borderId="64" xfId="1" applyBorder="1" applyAlignment="1">
      <alignment vertical="center" wrapText="1"/>
    </xf>
    <xf numFmtId="0" fontId="2" fillId="0" borderId="64" xfId="1" applyBorder="1" applyAlignment="1">
      <alignment horizontal="center" vertical="center" wrapText="1"/>
    </xf>
    <xf numFmtId="0" fontId="2" fillId="0" borderId="65" xfId="1" applyBorder="1" applyAlignment="1">
      <alignment horizontal="center" vertical="center" wrapText="1"/>
    </xf>
    <xf numFmtId="0" fontId="0" fillId="0" borderId="31" xfId="0" applyBorder="1"/>
    <xf numFmtId="0" fontId="0" fillId="0" borderId="31" xfId="0" applyBorder="1" applyAlignment="1">
      <alignment vertical="center" wrapText="1"/>
    </xf>
    <xf numFmtId="0" fontId="23" fillId="0" borderId="0" xfId="1" applyFont="1"/>
    <xf numFmtId="0" fontId="0" fillId="0" borderId="0" xfId="0" applyAlignment="1">
      <alignment horizontal="center"/>
    </xf>
    <xf numFmtId="0" fontId="0" fillId="0" borderId="0" xfId="0" applyAlignment="1">
      <alignment horizontal="center"/>
    </xf>
    <xf numFmtId="0" fontId="18" fillId="0" borderId="0" xfId="0" applyFont="1" applyAlignment="1">
      <alignment horizontal="center"/>
    </xf>
    <xf numFmtId="0" fontId="18" fillId="0" borderId="0" xfId="0" applyFont="1"/>
    <xf numFmtId="0" fontId="18" fillId="0" borderId="0" xfId="0" applyFont="1" applyAlignment="1">
      <alignment vertical="center"/>
    </xf>
    <xf numFmtId="0" fontId="0" fillId="0" borderId="0" xfId="0" applyBorder="1" applyAlignment="1">
      <alignment vertical="center" wrapText="1"/>
    </xf>
    <xf numFmtId="0" fontId="0" fillId="0" borderId="32" xfId="0" applyBorder="1"/>
    <xf numFmtId="0" fontId="7" fillId="0" borderId="32" xfId="0" applyFont="1" applyBorder="1" applyAlignment="1">
      <alignment horizontal="center" vertical="center"/>
    </xf>
    <xf numFmtId="0" fontId="0" fillId="0" borderId="32" xfId="0" applyBorder="1" applyAlignment="1">
      <alignment vertical="center" wrapText="1"/>
    </xf>
    <xf numFmtId="0" fontId="0" fillId="0" borderId="0" xfId="0" applyAlignment="1">
      <alignment horizontal="center"/>
    </xf>
    <xf numFmtId="0" fontId="13" fillId="6" borderId="7" xfId="0" applyNumberFormat="1" applyFont="1" applyFill="1" applyBorder="1" applyAlignment="1" applyProtection="1">
      <alignment horizontal="center"/>
      <protection locked="0"/>
    </xf>
    <xf numFmtId="164" fontId="0" fillId="0" borderId="3" xfId="0" applyNumberFormat="1" applyFill="1" applyBorder="1" applyAlignment="1">
      <alignment vertical="center" wrapText="1"/>
    </xf>
    <xf numFmtId="0" fontId="0" fillId="0" borderId="0" xfId="0" applyFill="1"/>
    <xf numFmtId="0" fontId="1" fillId="0" borderId="0" xfId="0" applyFont="1" applyFill="1"/>
    <xf numFmtId="0" fontId="13" fillId="7" borderId="8" xfId="0" applyFont="1" applyFill="1" applyBorder="1" applyAlignment="1">
      <alignment horizontal="center" vertical="center"/>
    </xf>
    <xf numFmtId="2" fontId="13" fillId="9" borderId="9" xfId="0" applyNumberFormat="1" applyFont="1" applyFill="1" applyBorder="1" applyAlignment="1">
      <alignment horizontal="center" vertical="center"/>
    </xf>
    <xf numFmtId="2" fontId="13" fillId="0" borderId="7" xfId="0" applyNumberFormat="1" applyFont="1" applyBorder="1" applyAlignment="1">
      <alignment horizontal="center" vertical="center"/>
    </xf>
    <xf numFmtId="0" fontId="14" fillId="0" borderId="7" xfId="0" applyFont="1" applyBorder="1" applyAlignment="1">
      <alignment horizontal="center"/>
    </xf>
    <xf numFmtId="0" fontId="13" fillId="7" borderId="39" xfId="0" applyFont="1" applyFill="1" applyBorder="1" applyAlignment="1">
      <alignment horizontal="center" vertical="center"/>
    </xf>
    <xf numFmtId="0" fontId="13" fillId="9" borderId="0" xfId="0" applyFont="1" applyFill="1" applyBorder="1"/>
    <xf numFmtId="0" fontId="0" fillId="0" borderId="31" xfId="0" applyFill="1" applyBorder="1"/>
    <xf numFmtId="0" fontId="0" fillId="0" borderId="0" xfId="0" applyFill="1" applyAlignment="1">
      <alignment horizontal="center"/>
    </xf>
    <xf numFmtId="0" fontId="0" fillId="0" borderId="0" xfId="0" applyFill="1" applyAlignment="1"/>
    <xf numFmtId="2" fontId="13" fillId="7" borderId="20" xfId="0" applyNumberFormat="1" applyFont="1" applyFill="1" applyBorder="1" applyAlignment="1">
      <alignment horizontal="center"/>
    </xf>
    <xf numFmtId="2" fontId="13" fillId="7" borderId="38" xfId="0" applyNumberFormat="1" applyFont="1" applyFill="1" applyBorder="1" applyAlignment="1">
      <alignment horizontal="center"/>
    </xf>
    <xf numFmtId="2" fontId="13" fillId="8" borderId="0" xfId="0" applyNumberFormat="1" applyFont="1" applyFill="1" applyAlignment="1">
      <alignment horizontal="center"/>
    </xf>
    <xf numFmtId="2" fontId="13" fillId="8" borderId="36" xfId="0" applyNumberFormat="1" applyFont="1" applyFill="1" applyBorder="1" applyAlignment="1">
      <alignment horizontal="center"/>
    </xf>
    <xf numFmtId="2" fontId="13" fillId="9" borderId="9" xfId="0" applyNumberFormat="1" applyFont="1" applyFill="1" applyBorder="1" applyAlignment="1">
      <alignment horizontal="center"/>
    </xf>
    <xf numFmtId="2" fontId="16" fillId="9" borderId="8" xfId="0" applyNumberFormat="1" applyFont="1" applyFill="1" applyBorder="1" applyAlignment="1">
      <alignment horizontal="center" vertical="center"/>
    </xf>
    <xf numFmtId="2" fontId="16" fillId="9" borderId="39" xfId="0" applyNumberFormat="1" applyFont="1" applyFill="1" applyBorder="1" applyAlignment="1">
      <alignment horizontal="center" vertical="center"/>
    </xf>
    <xf numFmtId="2" fontId="13" fillId="10" borderId="0" xfId="0" applyNumberFormat="1" applyFont="1" applyFill="1" applyAlignment="1">
      <alignment horizontal="center"/>
    </xf>
    <xf numFmtId="2" fontId="13" fillId="10" borderId="11" xfId="0" applyNumberFormat="1" applyFont="1" applyFill="1" applyBorder="1" applyAlignment="1">
      <alignment horizontal="center"/>
    </xf>
    <xf numFmtId="2" fontId="13" fillId="11" borderId="8" xfId="0" applyNumberFormat="1" applyFont="1" applyFill="1" applyBorder="1" applyAlignment="1">
      <alignment horizontal="center"/>
    </xf>
    <xf numFmtId="2" fontId="13" fillId="11" borderId="12" xfId="0" applyNumberFormat="1" applyFont="1" applyFill="1" applyBorder="1" applyAlignment="1">
      <alignment horizontal="center"/>
    </xf>
    <xf numFmtId="2" fontId="13" fillId="0" borderId="7" xfId="0" applyNumberFormat="1" applyFont="1" applyFill="1" applyBorder="1" applyAlignment="1">
      <alignment horizontal="center"/>
    </xf>
    <xf numFmtId="0" fontId="0" fillId="0" borderId="58" xfId="0" applyFont="1" applyBorder="1"/>
    <xf numFmtId="0" fontId="0" fillId="0" borderId="63" xfId="0" applyFont="1" applyBorder="1"/>
    <xf numFmtId="0" fontId="0" fillId="0" borderId="55" xfId="0" applyFont="1" applyBorder="1"/>
    <xf numFmtId="15" fontId="0" fillId="0" borderId="0" xfId="0" applyNumberFormat="1" applyFill="1"/>
    <xf numFmtId="2" fontId="13" fillId="14" borderId="7" xfId="0" applyNumberFormat="1" applyFont="1" applyFill="1" applyBorder="1" applyAlignment="1">
      <alignment horizontal="center" vertical="center"/>
    </xf>
    <xf numFmtId="0" fontId="14" fillId="14" borderId="7" xfId="0" applyFont="1" applyFill="1" applyBorder="1" applyAlignment="1">
      <alignment horizontal="center"/>
    </xf>
    <xf numFmtId="2" fontId="14" fillId="0" borderId="7" xfId="0" applyNumberFormat="1" applyFont="1" applyBorder="1" applyAlignment="1">
      <alignment horizontal="center"/>
    </xf>
    <xf numFmtId="0" fontId="14" fillId="14" borderId="7" xfId="0" applyFont="1" applyFill="1" applyBorder="1" applyAlignment="1">
      <alignment horizontal="center" vertical="center"/>
    </xf>
    <xf numFmtId="0" fontId="14" fillId="0" borderId="7" xfId="0" applyFont="1" applyBorder="1" applyAlignment="1">
      <alignment horizontal="center" vertical="center"/>
    </xf>
    <xf numFmtId="2" fontId="13" fillId="9" borderId="8" xfId="0" applyNumberFormat="1" applyFont="1" applyFill="1" applyBorder="1" applyAlignment="1">
      <alignment horizontal="center"/>
    </xf>
    <xf numFmtId="0" fontId="0" fillId="0" borderId="0" xfId="0" applyBorder="1" applyAlignment="1">
      <alignment horizontal="center"/>
    </xf>
    <xf numFmtId="1" fontId="0" fillId="0" borderId="32" xfId="3" applyNumberFormat="1" applyFont="1" applyFill="1" applyBorder="1" applyAlignment="1">
      <alignment horizontal="right" vertical="center"/>
    </xf>
    <xf numFmtId="0" fontId="14" fillId="0" borderId="7" xfId="0" applyFont="1" applyBorder="1" applyAlignment="1">
      <alignment horizontal="center"/>
    </xf>
    <xf numFmtId="0" fontId="0" fillId="0" borderId="41" xfId="0" applyBorder="1" applyAlignment="1">
      <alignment vertical="center" wrapText="1"/>
    </xf>
    <xf numFmtId="0" fontId="0" fillId="0" borderId="0" xfId="0" applyAlignment="1">
      <alignment horizontal="center"/>
    </xf>
    <xf numFmtId="0" fontId="13" fillId="10" borderId="39" xfId="0" applyFont="1" applyFill="1" applyBorder="1" applyAlignment="1">
      <alignment horizontal="left" vertical="center"/>
    </xf>
    <xf numFmtId="0" fontId="13" fillId="10" borderId="9" xfId="0" applyFont="1" applyFill="1" applyBorder="1" applyAlignment="1">
      <alignment horizontal="left" vertical="center"/>
    </xf>
    <xf numFmtId="0" fontId="13" fillId="11" borderId="9" xfId="0" applyFont="1" applyFill="1" applyBorder="1" applyAlignment="1">
      <alignment horizontal="left" vertical="center"/>
    </xf>
    <xf numFmtId="2" fontId="13" fillId="0" borderId="7" xfId="0" applyNumberFormat="1" applyFont="1" applyBorder="1" applyAlignment="1">
      <alignment horizontal="center" vertical="center"/>
    </xf>
    <xf numFmtId="0" fontId="14" fillId="0" borderId="8" xfId="0" applyFont="1" applyBorder="1" applyAlignment="1">
      <alignment horizontal="center" vertical="center" wrapText="1"/>
    </xf>
    <xf numFmtId="0" fontId="19" fillId="0" borderId="0" xfId="0" applyFont="1" applyAlignment="1">
      <alignment horizontal="center"/>
    </xf>
    <xf numFmtId="0" fontId="14" fillId="0" borderId="7" xfId="0" applyFont="1" applyBorder="1" applyAlignment="1">
      <alignment horizontal="center"/>
    </xf>
    <xf numFmtId="0" fontId="13" fillId="10" borderId="9" xfId="0" applyFont="1" applyFill="1" applyBorder="1" applyAlignment="1">
      <alignment horizontal="left" vertical="center"/>
    </xf>
    <xf numFmtId="0" fontId="0" fillId="0" borderId="0" xfId="0" applyBorder="1"/>
    <xf numFmtId="0" fontId="13" fillId="10" borderId="9" xfId="0" applyFont="1" applyFill="1" applyBorder="1" applyAlignment="1">
      <alignment vertical="center"/>
    </xf>
    <xf numFmtId="0" fontId="13" fillId="10" borderId="38" xfId="0" applyFont="1" applyFill="1" applyBorder="1" applyAlignment="1">
      <alignment vertical="center"/>
    </xf>
    <xf numFmtId="1" fontId="0" fillId="0" borderId="2" xfId="3" applyNumberFormat="1" applyFont="1" applyFill="1" applyBorder="1" applyAlignment="1">
      <alignment horizontal="right" vertical="center"/>
    </xf>
    <xf numFmtId="0" fontId="0" fillId="0" borderId="42" xfId="0" applyFill="1" applyBorder="1" applyAlignment="1">
      <alignment vertical="center" wrapText="1"/>
    </xf>
    <xf numFmtId="0" fontId="13" fillId="10" borderId="20" xfId="0" applyFont="1" applyFill="1" applyBorder="1" applyAlignment="1">
      <alignment vertical="center"/>
    </xf>
    <xf numFmtId="0" fontId="14" fillId="0" borderId="7" xfId="0" applyFont="1" applyBorder="1" applyAlignment="1">
      <alignment horizontal="center"/>
    </xf>
    <xf numFmtId="0" fontId="14" fillId="0" borderId="7" xfId="0" applyFont="1" applyBorder="1" applyAlignment="1">
      <alignment horizontal="center" wrapText="1"/>
    </xf>
    <xf numFmtId="0" fontId="13" fillId="6" borderId="7" xfId="0" applyFont="1" applyFill="1" applyBorder="1" applyAlignment="1" applyProtection="1">
      <alignment horizontal="center" vertical="center"/>
      <protection locked="0"/>
    </xf>
    <xf numFmtId="0" fontId="13" fillId="15" borderId="7" xfId="0" applyFont="1" applyFill="1" applyBorder="1" applyAlignment="1" applyProtection="1">
      <alignment horizontal="center" vertical="center"/>
      <protection locked="0"/>
    </xf>
    <xf numFmtId="0" fontId="13" fillId="0" borderId="10" xfId="0" applyFont="1" applyBorder="1" applyAlignment="1">
      <alignment vertical="center"/>
    </xf>
    <xf numFmtId="0" fontId="13" fillId="0" borderId="10" xfId="0" applyFont="1" applyFill="1" applyBorder="1" applyAlignment="1">
      <alignment vertical="center"/>
    </xf>
    <xf numFmtId="0" fontId="0" fillId="0" borderId="0" xfId="0" applyAlignment="1">
      <alignment wrapText="1"/>
    </xf>
    <xf numFmtId="0" fontId="0" fillId="0" borderId="0" xfId="0" applyAlignment="1">
      <alignment horizontal="left"/>
    </xf>
    <xf numFmtId="0" fontId="0" fillId="0" borderId="1" xfId="0" applyFill="1" applyBorder="1" applyAlignment="1">
      <alignment vertical="center"/>
    </xf>
    <xf numFmtId="0" fontId="0" fillId="0" borderId="2" xfId="0" applyFill="1" applyBorder="1"/>
    <xf numFmtId="0" fontId="0" fillId="0" borderId="2" xfId="0" applyFill="1" applyBorder="1" applyAlignment="1">
      <alignment vertical="center" wrapText="1"/>
    </xf>
    <xf numFmtId="0" fontId="0" fillId="0" borderId="41" xfId="0" applyFill="1" applyBorder="1" applyAlignment="1">
      <alignment vertical="center"/>
    </xf>
    <xf numFmtId="164" fontId="0" fillId="0" borderId="0" xfId="0" applyNumberFormat="1" applyFill="1"/>
    <xf numFmtId="0" fontId="0" fillId="0" borderId="42" xfId="0" applyFill="1" applyBorder="1"/>
    <xf numFmtId="0" fontId="0" fillId="0" borderId="0" xfId="0" applyFill="1" applyAlignment="1">
      <alignment vertical="center"/>
    </xf>
    <xf numFmtId="2" fontId="13" fillId="9" borderId="7" xfId="0" applyNumberFormat="1" applyFont="1" applyFill="1" applyBorder="1" applyAlignment="1">
      <alignment horizontal="center" vertical="center"/>
    </xf>
    <xf numFmtId="2" fontId="13" fillId="9" borderId="8" xfId="0" applyNumberFormat="1" applyFont="1" applyFill="1" applyBorder="1" applyAlignment="1">
      <alignment horizontal="center" vertical="center"/>
    </xf>
    <xf numFmtId="2" fontId="13" fillId="9" borderId="20" xfId="0" applyNumberFormat="1" applyFont="1" applyFill="1" applyBorder="1" applyAlignment="1">
      <alignment horizontal="center" vertical="center"/>
    </xf>
    <xf numFmtId="0" fontId="13" fillId="9" borderId="8" xfId="0" applyFont="1" applyFill="1" applyBorder="1" applyAlignment="1">
      <alignment vertical="center"/>
    </xf>
    <xf numFmtId="0" fontId="13" fillId="9" borderId="39" xfId="0" applyFont="1" applyFill="1" applyBorder="1" applyAlignment="1">
      <alignment vertical="center"/>
    </xf>
    <xf numFmtId="0" fontId="13" fillId="9" borderId="21" xfId="0" applyFont="1" applyFill="1" applyBorder="1" applyAlignment="1">
      <alignment vertical="center"/>
    </xf>
    <xf numFmtId="0" fontId="13" fillId="9" borderId="10" xfId="0" applyFont="1" applyFill="1" applyBorder="1"/>
    <xf numFmtId="0" fontId="13" fillId="9" borderId="12" xfId="0" applyFont="1" applyFill="1" applyBorder="1"/>
    <xf numFmtId="0" fontId="13" fillId="9" borderId="10" xfId="0" applyFont="1" applyFill="1" applyBorder="1" applyAlignment="1">
      <alignment vertical="center"/>
    </xf>
    <xf numFmtId="0" fontId="13" fillId="0" borderId="7" xfId="0" applyFont="1" applyFill="1" applyBorder="1" applyAlignment="1">
      <alignment vertical="center"/>
    </xf>
    <xf numFmtId="0" fontId="19" fillId="0" borderId="0" xfId="0" applyFont="1" applyAlignment="1"/>
    <xf numFmtId="1" fontId="13" fillId="0" borderId="7" xfId="0" applyNumberFormat="1" applyFont="1" applyFill="1" applyBorder="1" applyAlignment="1">
      <alignment horizontal="center"/>
    </xf>
    <xf numFmtId="0" fontId="4" fillId="16" borderId="0" xfId="1" applyFont="1" applyFill="1"/>
    <xf numFmtId="0" fontId="2" fillId="16" borderId="0" xfId="1" applyFill="1"/>
    <xf numFmtId="0" fontId="4" fillId="16" borderId="0" xfId="1" applyFont="1" applyFill="1" applyAlignment="1">
      <alignment vertical="center" wrapText="1"/>
    </xf>
    <xf numFmtId="0" fontId="4" fillId="16" borderId="0" xfId="1" applyFont="1" applyFill="1" applyAlignment="1">
      <alignment horizontal="left"/>
    </xf>
    <xf numFmtId="0" fontId="4" fillId="16" borderId="0" xfId="1" applyFont="1" applyFill="1" applyAlignment="1">
      <alignment horizontal="left" vertical="center" wrapText="1"/>
    </xf>
    <xf numFmtId="0" fontId="3" fillId="15" borderId="66" xfId="1" applyFont="1" applyFill="1" applyBorder="1" applyAlignment="1">
      <alignment horizontal="center" vertical="center" wrapText="1"/>
    </xf>
    <xf numFmtId="0" fontId="5" fillId="0" borderId="0" xfId="1" applyFont="1" applyFill="1"/>
    <xf numFmtId="0" fontId="4" fillId="0" borderId="0" xfId="1" applyFont="1" applyFill="1"/>
    <xf numFmtId="0" fontId="4" fillId="0" borderId="0" xfId="1" applyFont="1" applyFill="1" applyAlignment="1">
      <alignment horizontal="left" vertical="center"/>
    </xf>
    <xf numFmtId="0" fontId="13" fillId="16" borderId="10" xfId="0" applyFont="1" applyFill="1" applyBorder="1"/>
    <xf numFmtId="0" fontId="13" fillId="16" borderId="11" xfId="0" applyFont="1" applyFill="1" applyBorder="1"/>
    <xf numFmtId="2" fontId="13" fillId="16" borderId="7" xfId="0" applyNumberFormat="1" applyFont="1" applyFill="1" applyBorder="1" applyAlignment="1">
      <alignment horizontal="center" vertical="center"/>
    </xf>
    <xf numFmtId="0" fontId="13" fillId="16" borderId="21" xfId="0" applyFont="1" applyFill="1" applyBorder="1"/>
    <xf numFmtId="0" fontId="13" fillId="16" borderId="40" xfId="0" applyFont="1" applyFill="1" applyBorder="1"/>
    <xf numFmtId="2" fontId="13" fillId="16" borderId="7" xfId="2" applyNumberFormat="1" applyFont="1" applyFill="1" applyBorder="1" applyAlignment="1">
      <alignment horizontal="center"/>
    </xf>
    <xf numFmtId="0" fontId="13" fillId="16" borderId="37" xfId="0" applyFont="1" applyFill="1" applyBorder="1"/>
    <xf numFmtId="0" fontId="13" fillId="16" borderId="36" xfId="0" applyFont="1" applyFill="1" applyBorder="1"/>
    <xf numFmtId="9" fontId="13" fillId="16" borderId="7" xfId="2" applyFont="1" applyFill="1" applyBorder="1" applyAlignment="1">
      <alignment horizontal="center" vertical="center"/>
    </xf>
    <xf numFmtId="0" fontId="13" fillId="16" borderId="7" xfId="0" applyFont="1" applyFill="1" applyBorder="1" applyAlignment="1">
      <alignment horizontal="center"/>
    </xf>
    <xf numFmtId="0" fontId="13" fillId="16" borderId="10" xfId="0" applyFont="1" applyFill="1" applyBorder="1" applyAlignment="1">
      <alignment horizontal="left"/>
    </xf>
    <xf numFmtId="0" fontId="13" fillId="16" borderId="11" xfId="0" applyFont="1" applyFill="1" applyBorder="1" applyAlignment="1">
      <alignment horizontal="left"/>
    </xf>
    <xf numFmtId="1" fontId="13" fillId="16" borderId="7" xfId="0" applyNumberFormat="1" applyFont="1" applyFill="1" applyBorder="1" applyAlignment="1">
      <alignment horizontal="center"/>
    </xf>
    <xf numFmtId="0" fontId="13" fillId="16" borderId="21" xfId="0" applyFont="1" applyFill="1" applyBorder="1" applyAlignment="1">
      <alignment horizontal="left"/>
    </xf>
    <xf numFmtId="0" fontId="13" fillId="16" borderId="40" xfId="0" applyFont="1" applyFill="1" applyBorder="1" applyAlignment="1">
      <alignment horizontal="left"/>
    </xf>
    <xf numFmtId="0" fontId="0" fillId="16" borderId="40" xfId="0" applyFill="1" applyBorder="1"/>
    <xf numFmtId="0" fontId="0" fillId="16" borderId="11" xfId="0" applyFill="1" applyBorder="1"/>
    <xf numFmtId="2" fontId="13" fillId="16" borderId="7" xfId="0" applyNumberFormat="1" applyFont="1" applyFill="1" applyBorder="1" applyAlignment="1">
      <alignment horizontal="center"/>
    </xf>
    <xf numFmtId="2" fontId="13" fillId="9" borderId="9" xfId="0" applyNumberFormat="1" applyFont="1" applyFill="1" applyBorder="1" applyAlignment="1">
      <alignment horizontal="center" vertical="center"/>
    </xf>
    <xf numFmtId="2" fontId="13" fillId="9" borderId="9" xfId="0" applyNumberFormat="1" applyFont="1" applyFill="1" applyBorder="1" applyAlignment="1">
      <alignment horizontal="center" vertical="center"/>
    </xf>
    <xf numFmtId="0" fontId="13" fillId="0" borderId="7" xfId="0" applyFont="1" applyFill="1" applyBorder="1" applyAlignment="1" applyProtection="1">
      <alignment horizontal="center" vertical="center"/>
    </xf>
    <xf numFmtId="0" fontId="14" fillId="0" borderId="32" xfId="0" applyFont="1" applyBorder="1" applyAlignment="1"/>
    <xf numFmtId="2" fontId="13" fillId="0" borderId="9" xfId="0" applyNumberFormat="1" applyFont="1" applyBorder="1" applyAlignment="1">
      <alignment horizontal="center"/>
    </xf>
    <xf numFmtId="0" fontId="14" fillId="0" borderId="51" xfId="0" applyFont="1" applyBorder="1" applyAlignment="1"/>
    <xf numFmtId="0" fontId="13" fillId="15" borderId="39" xfId="0" applyFont="1" applyFill="1" applyBorder="1" applyAlignment="1" applyProtection="1">
      <alignment horizontal="center"/>
      <protection locked="0"/>
    </xf>
    <xf numFmtId="0" fontId="0" fillId="0" borderId="0" xfId="0" applyAlignment="1"/>
    <xf numFmtId="164" fontId="13" fillId="0" borderId="7" xfId="0" applyNumberFormat="1" applyFont="1" applyBorder="1" applyAlignment="1">
      <alignment horizontal="center"/>
    </xf>
    <xf numFmtId="44" fontId="0" fillId="0" borderId="0" xfId="4" applyFont="1"/>
    <xf numFmtId="0" fontId="13" fillId="0" borderId="10" xfId="0" applyFont="1" applyBorder="1" applyAlignment="1">
      <alignment horizontal="left" vertical="center"/>
    </xf>
    <xf numFmtId="0" fontId="13" fillId="0" borderId="7" xfId="0" applyFont="1" applyBorder="1" applyAlignment="1">
      <alignment vertical="center"/>
    </xf>
    <xf numFmtId="0" fontId="13" fillId="0" borderId="8" xfId="0" applyFont="1" applyBorder="1" applyAlignment="1">
      <alignment vertical="center"/>
    </xf>
    <xf numFmtId="0" fontId="14" fillId="6" borderId="7" xfId="0" applyFont="1" applyFill="1" applyBorder="1" applyAlignment="1" applyProtection="1">
      <alignment horizontal="center" vertical="center"/>
      <protection locked="0"/>
    </xf>
    <xf numFmtId="0" fontId="13" fillId="0" borderId="8" xfId="0" applyFont="1" applyBorder="1" applyAlignment="1">
      <alignment horizontal="center" vertical="center"/>
    </xf>
    <xf numFmtId="0" fontId="14" fillId="6" borderId="10"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0" fontId="13" fillId="0" borderId="21" xfId="0" applyFont="1" applyBorder="1" applyAlignment="1">
      <alignment horizontal="center" vertical="center"/>
    </xf>
    <xf numFmtId="166" fontId="14" fillId="0" borderId="7" xfId="0" applyNumberFormat="1" applyFont="1" applyFill="1" applyBorder="1" applyAlignment="1">
      <alignment horizontal="center"/>
    </xf>
    <xf numFmtId="0" fontId="0" fillId="7" borderId="39" xfId="0" applyFill="1" applyBorder="1" applyAlignment="1">
      <alignment horizontal="left" vertical="center"/>
    </xf>
    <xf numFmtId="0" fontId="0" fillId="0" borderId="7" xfId="0" applyBorder="1" applyAlignment="1">
      <alignment horizontal="left" vertical="center" wrapText="1"/>
    </xf>
    <xf numFmtId="0" fontId="1" fillId="12" borderId="7" xfId="0" applyFont="1" applyFill="1" applyBorder="1" applyAlignment="1">
      <alignment horizontal="center" wrapText="1"/>
    </xf>
    <xf numFmtId="0" fontId="0" fillId="0" borderId="0" xfId="0"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Border="1" applyAlignment="1">
      <alignment horizontal="center" vertical="center"/>
    </xf>
    <xf numFmtId="0" fontId="12" fillId="0" borderId="42" xfId="0" applyFont="1" applyBorder="1" applyAlignment="1">
      <alignment horizontal="center" vertical="center"/>
    </xf>
    <xf numFmtId="0" fontId="1" fillId="0" borderId="57" xfId="0" applyFont="1" applyBorder="1"/>
    <xf numFmtId="0" fontId="1" fillId="0" borderId="12" xfId="0" applyFont="1" applyBorder="1"/>
    <xf numFmtId="0" fontId="8" fillId="15" borderId="0" xfId="0" applyFont="1" applyFill="1" applyBorder="1" applyAlignment="1" applyProtection="1">
      <alignment horizontal="center"/>
      <protection locked="0"/>
    </xf>
    <xf numFmtId="0" fontId="13" fillId="15" borderId="10" xfId="0" applyFont="1" applyFill="1" applyBorder="1" applyAlignment="1" applyProtection="1">
      <alignment horizontal="center"/>
      <protection locked="0"/>
    </xf>
    <xf numFmtId="0" fontId="13" fillId="15" borderId="12" xfId="0" applyFont="1" applyFill="1" applyBorder="1" applyAlignment="1" applyProtection="1">
      <alignment horizontal="center"/>
      <protection locked="0"/>
    </xf>
    <xf numFmtId="0" fontId="25" fillId="0" borderId="0" xfId="1" applyFont="1" applyFill="1" applyAlignment="1">
      <alignment horizontal="left"/>
    </xf>
    <xf numFmtId="0" fontId="5" fillId="6" borderId="21" xfId="1" applyFont="1" applyFill="1" applyBorder="1" applyAlignment="1">
      <alignment horizontal="center" vertical="center" wrapText="1"/>
    </xf>
    <xf numFmtId="0" fontId="5" fillId="6" borderId="20" xfId="1" applyFont="1" applyFill="1" applyBorder="1" applyAlignment="1">
      <alignment horizontal="center" vertical="center" wrapText="1"/>
    </xf>
    <xf numFmtId="0" fontId="5" fillId="6" borderId="31" xfId="1" applyFont="1" applyFill="1" applyBorder="1" applyAlignment="1">
      <alignment horizontal="center" vertical="center" wrapText="1"/>
    </xf>
    <xf numFmtId="0" fontId="5" fillId="6" borderId="32"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5" fillId="6" borderId="10" xfId="1" applyFont="1" applyFill="1" applyBorder="1" applyAlignment="1">
      <alignment horizontal="center" vertical="center" wrapText="1"/>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18" xfId="1" applyFont="1" applyFill="1" applyBorder="1" applyAlignment="1">
      <alignment horizontal="center" vertical="center"/>
    </xf>
    <xf numFmtId="0" fontId="26" fillId="0" borderId="13" xfId="1" applyFont="1" applyBorder="1" applyAlignment="1">
      <alignment horizontal="center" vertical="center" wrapText="1"/>
    </xf>
    <xf numFmtId="0" fontId="26" fillId="0" borderId="14"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0" xfId="1" applyFont="1" applyAlignment="1">
      <alignment horizontal="center" vertical="center" wrapText="1"/>
    </xf>
    <xf numFmtId="0" fontId="0" fillId="9" borderId="8" xfId="0" applyFill="1" applyBorder="1" applyAlignment="1">
      <alignment horizontal="left" vertical="center"/>
    </xf>
    <xf numFmtId="0" fontId="0" fillId="9" borderId="39" xfId="0" applyFill="1" applyBorder="1" applyAlignment="1">
      <alignment horizontal="left" vertical="center"/>
    </xf>
    <xf numFmtId="0" fontId="0" fillId="10" borderId="8" xfId="0" applyFill="1" applyBorder="1" applyAlignment="1">
      <alignment horizontal="left" vertical="center"/>
    </xf>
    <xf numFmtId="0" fontId="0" fillId="10" borderId="39" xfId="0" applyFill="1" applyBorder="1" applyAlignment="1">
      <alignment horizontal="left" vertical="center"/>
    </xf>
    <xf numFmtId="0" fontId="0" fillId="10" borderId="9" xfId="0" applyFill="1" applyBorder="1" applyAlignment="1">
      <alignment horizontal="left" vertical="center"/>
    </xf>
    <xf numFmtId="0" fontId="0" fillId="11" borderId="8" xfId="0" applyFill="1" applyBorder="1" applyAlignment="1">
      <alignment horizontal="left" vertical="center"/>
    </xf>
    <xf numFmtId="0" fontId="0" fillId="11" borderId="9" xfId="0" applyFill="1" applyBorder="1" applyAlignment="1">
      <alignment horizontal="left" vertical="center"/>
    </xf>
    <xf numFmtId="0" fontId="0" fillId="0" borderId="0" xfId="0" applyAlignment="1">
      <alignment horizontal="left" wrapText="1"/>
    </xf>
    <xf numFmtId="2" fontId="13" fillId="10" borderId="7"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13" fillId="10" borderId="8" xfId="0" applyFont="1" applyFill="1" applyBorder="1" applyAlignment="1">
      <alignment horizontal="left" vertical="center"/>
    </xf>
    <xf numFmtId="0" fontId="13" fillId="10" borderId="39" xfId="0" applyFont="1" applyFill="1" applyBorder="1" applyAlignment="1">
      <alignment horizontal="left" vertical="center"/>
    </xf>
    <xf numFmtId="0" fontId="13" fillId="10" borderId="9" xfId="0" applyFont="1" applyFill="1" applyBorder="1" applyAlignment="1">
      <alignment horizontal="left" vertical="center"/>
    </xf>
    <xf numFmtId="2" fontId="13" fillId="0" borderId="8" xfId="0" applyNumberFormat="1" applyFont="1" applyBorder="1" applyAlignment="1">
      <alignment horizontal="center" vertical="center" wrapText="1"/>
    </xf>
    <xf numFmtId="2" fontId="13" fillId="0" borderId="9" xfId="0" applyNumberFormat="1" applyFont="1" applyBorder="1" applyAlignment="1">
      <alignment horizontal="center" vertical="center" wrapText="1"/>
    </xf>
    <xf numFmtId="0" fontId="13" fillId="9" borderId="8" xfId="0" applyFont="1" applyFill="1" applyBorder="1" applyAlignment="1">
      <alignment horizontal="left" vertical="center"/>
    </xf>
    <xf numFmtId="0" fontId="13" fillId="9" borderId="39" xfId="0" applyFont="1" applyFill="1" applyBorder="1" applyAlignment="1">
      <alignment horizontal="left" vertical="center"/>
    </xf>
    <xf numFmtId="0" fontId="13" fillId="9" borderId="9" xfId="0" applyFont="1" applyFill="1" applyBorder="1" applyAlignment="1">
      <alignment horizontal="left" vertical="center"/>
    </xf>
    <xf numFmtId="2" fontId="13" fillId="9" borderId="8" xfId="0" applyNumberFormat="1" applyFont="1" applyFill="1" applyBorder="1" applyAlignment="1">
      <alignment horizontal="center" vertical="center"/>
    </xf>
    <xf numFmtId="2" fontId="13" fillId="9" borderId="39" xfId="0" applyNumberFormat="1" applyFont="1" applyFill="1" applyBorder="1" applyAlignment="1">
      <alignment horizontal="center" vertical="center"/>
    </xf>
    <xf numFmtId="2" fontId="13" fillId="9" borderId="9" xfId="0" applyNumberFormat="1" applyFont="1" applyFill="1" applyBorder="1" applyAlignment="1">
      <alignment horizontal="center" vertical="center"/>
    </xf>
    <xf numFmtId="0" fontId="13" fillId="8" borderId="8" xfId="0" applyFont="1" applyFill="1" applyBorder="1" applyAlignment="1">
      <alignment horizontal="left" vertical="center"/>
    </xf>
    <xf numFmtId="0" fontId="13" fillId="8" borderId="9" xfId="0" applyFont="1" applyFill="1" applyBorder="1" applyAlignment="1">
      <alignment horizontal="left" vertical="center"/>
    </xf>
    <xf numFmtId="0" fontId="13" fillId="8" borderId="39" xfId="0" applyFont="1" applyFill="1" applyBorder="1" applyAlignment="1">
      <alignment horizontal="left" vertical="center"/>
    </xf>
    <xf numFmtId="0" fontId="13" fillId="7" borderId="39" xfId="0" applyFont="1" applyFill="1" applyBorder="1" applyAlignment="1">
      <alignment horizontal="left" vertical="center"/>
    </xf>
    <xf numFmtId="0" fontId="13" fillId="7" borderId="21" xfId="0" applyFont="1" applyFill="1" applyBorder="1" applyAlignment="1">
      <alignment horizontal="left" vertical="center"/>
    </xf>
    <xf numFmtId="0" fontId="13" fillId="7" borderId="37" xfId="0" applyFont="1" applyFill="1" applyBorder="1" applyAlignment="1">
      <alignment horizontal="left" vertical="center"/>
    </xf>
    <xf numFmtId="0" fontId="13" fillId="11" borderId="21" xfId="0" applyFont="1" applyFill="1" applyBorder="1" applyAlignment="1">
      <alignment horizontal="left" vertical="center"/>
    </xf>
    <xf numFmtId="0" fontId="13" fillId="11" borderId="37" xfId="0" applyFont="1" applyFill="1" applyBorder="1" applyAlignment="1">
      <alignment horizontal="left" vertical="center"/>
    </xf>
    <xf numFmtId="0" fontId="13" fillId="11" borderId="8" xfId="0" applyFont="1" applyFill="1" applyBorder="1" applyAlignment="1">
      <alignment horizontal="left" vertical="center"/>
    </xf>
    <xf numFmtId="0" fontId="13" fillId="11" borderId="39" xfId="0" applyFont="1" applyFill="1" applyBorder="1" applyAlignment="1">
      <alignment horizontal="left" vertical="center"/>
    </xf>
    <xf numFmtId="0" fontId="13" fillId="11" borderId="9" xfId="0" applyFont="1" applyFill="1" applyBorder="1" applyAlignment="1">
      <alignment horizontal="left" vertic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53" xfId="0" applyFont="1" applyBorder="1" applyAlignment="1">
      <alignment horizontal="center"/>
    </xf>
    <xf numFmtId="0" fontId="14" fillId="0" borderId="54" xfId="0" applyFont="1" applyBorder="1" applyAlignment="1">
      <alignment horizontal="center"/>
    </xf>
    <xf numFmtId="0" fontId="14" fillId="0" borderId="67" xfId="0" applyFont="1" applyBorder="1" applyAlignment="1">
      <alignment horizontal="center"/>
    </xf>
    <xf numFmtId="0" fontId="14" fillId="0" borderId="37" xfId="0" applyFont="1" applyBorder="1" applyAlignment="1">
      <alignment horizontal="center"/>
    </xf>
    <xf numFmtId="0" fontId="14" fillId="0" borderId="36"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12" fillId="0" borderId="46" xfId="0" applyFont="1" applyBorder="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4" fillId="0" borderId="38" xfId="0" applyFont="1" applyBorder="1" applyAlignment="1">
      <alignment horizontal="center"/>
    </xf>
    <xf numFmtId="0" fontId="13" fillId="0" borderId="7" xfId="0" applyFont="1" applyBorder="1" applyAlignment="1">
      <alignment horizontal="right"/>
    </xf>
    <xf numFmtId="0" fontId="13" fillId="0" borderId="50" xfId="0" applyFont="1" applyBorder="1" applyAlignment="1">
      <alignment horizontal="right"/>
    </xf>
    <xf numFmtId="0" fontId="13" fillId="0" borderId="51" xfId="0" applyFont="1" applyBorder="1" applyAlignment="1">
      <alignment horizontal="right"/>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2" fontId="13" fillId="11" borderId="8" xfId="0" applyNumberFormat="1" applyFont="1" applyFill="1" applyBorder="1" applyAlignment="1">
      <alignment horizontal="center" vertical="center"/>
    </xf>
    <xf numFmtId="2" fontId="13" fillId="11" borderId="9" xfId="0" applyNumberFormat="1" applyFont="1" applyFill="1" applyBorder="1" applyAlignment="1">
      <alignment horizontal="center" vertical="center"/>
    </xf>
    <xf numFmtId="0" fontId="1" fillId="0" borderId="0" xfId="0" applyFont="1" applyAlignment="1">
      <alignment horizontal="left"/>
    </xf>
    <xf numFmtId="2" fontId="13" fillId="8" borderId="8" xfId="0" applyNumberFormat="1" applyFont="1" applyFill="1" applyBorder="1" applyAlignment="1">
      <alignment horizontal="center" vertical="center"/>
    </xf>
    <xf numFmtId="2" fontId="13" fillId="8" borderId="9" xfId="0" applyNumberFormat="1" applyFont="1" applyFill="1" applyBorder="1" applyAlignment="1">
      <alignment horizontal="center" vertical="center"/>
    </xf>
    <xf numFmtId="2" fontId="13" fillId="9" borderId="7" xfId="0" applyNumberFormat="1" applyFont="1" applyFill="1" applyBorder="1" applyAlignment="1">
      <alignment horizontal="center" vertical="center"/>
    </xf>
    <xf numFmtId="2" fontId="13" fillId="11" borderId="7" xfId="0" applyNumberFormat="1" applyFont="1" applyFill="1" applyBorder="1" applyAlignment="1">
      <alignment horizontal="center" vertical="center"/>
    </xf>
    <xf numFmtId="2" fontId="13" fillId="7" borderId="8" xfId="0" applyNumberFormat="1" applyFont="1" applyFill="1" applyBorder="1" applyAlignment="1">
      <alignment horizontal="center" vertical="center"/>
    </xf>
    <xf numFmtId="2" fontId="13" fillId="7" borderId="39" xfId="0" applyNumberFormat="1" applyFont="1" applyFill="1" applyBorder="1" applyAlignment="1">
      <alignment horizontal="center" vertical="center"/>
    </xf>
    <xf numFmtId="2" fontId="13" fillId="7" borderId="9" xfId="0" applyNumberFormat="1" applyFont="1" applyFill="1" applyBorder="1" applyAlignment="1">
      <alignment horizontal="center" vertical="center"/>
    </xf>
    <xf numFmtId="2" fontId="13" fillId="9" borderId="12" xfId="0" applyNumberFormat="1" applyFont="1" applyFill="1" applyBorder="1" applyAlignment="1">
      <alignment horizontal="center" vertical="center"/>
    </xf>
    <xf numFmtId="2" fontId="13" fillId="7" borderId="12" xfId="0" applyNumberFormat="1" applyFont="1" applyFill="1" applyBorder="1" applyAlignment="1">
      <alignment horizontal="center" vertical="center"/>
    </xf>
    <xf numFmtId="2" fontId="13" fillId="8" borderId="39" xfId="0" applyNumberFormat="1" applyFont="1" applyFill="1" applyBorder="1" applyAlignment="1">
      <alignment horizontal="center" vertical="center"/>
    </xf>
    <xf numFmtId="2" fontId="13" fillId="0" borderId="8" xfId="0" applyNumberFormat="1" applyFont="1" applyBorder="1" applyAlignment="1">
      <alignment horizontal="center" vertical="center"/>
    </xf>
    <xf numFmtId="2" fontId="13" fillId="0" borderId="39" xfId="0" applyNumberFormat="1" applyFont="1" applyBorder="1" applyAlignment="1">
      <alignment horizontal="center" vertical="center"/>
    </xf>
    <xf numFmtId="2" fontId="13" fillId="0" borderId="9" xfId="0" applyNumberFormat="1" applyFont="1" applyBorder="1" applyAlignment="1">
      <alignment horizontal="center" vertical="center"/>
    </xf>
    <xf numFmtId="2" fontId="13" fillId="0" borderId="39" xfId="0" applyNumberFormat="1" applyFont="1" applyBorder="1" applyAlignment="1">
      <alignment horizontal="center" vertical="center" wrapText="1"/>
    </xf>
    <xf numFmtId="0" fontId="13" fillId="15" borderId="31" xfId="0" applyFont="1" applyFill="1" applyBorder="1" applyAlignment="1">
      <alignment horizontal="center"/>
    </xf>
    <xf numFmtId="0" fontId="13" fillId="15" borderId="0" xfId="0" applyFont="1" applyFill="1" applyAlignment="1">
      <alignment horizontal="center"/>
    </xf>
    <xf numFmtId="0" fontId="13" fillId="15" borderId="32" xfId="0" applyFont="1" applyFill="1" applyBorder="1" applyAlignment="1">
      <alignment horizontal="center"/>
    </xf>
    <xf numFmtId="0" fontId="13" fillId="7" borderId="8" xfId="0" applyFont="1" applyFill="1" applyBorder="1" applyAlignment="1">
      <alignment horizontal="left" vertical="center"/>
    </xf>
    <xf numFmtId="0" fontId="13" fillId="7" borderId="9" xfId="0" applyFont="1" applyFill="1" applyBorder="1" applyAlignment="1">
      <alignment horizontal="left" vertical="center"/>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0" xfId="0" applyFont="1" applyFill="1" applyBorder="1" applyAlignment="1">
      <alignment horizont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3" fillId="0" borderId="37" xfId="0" applyFont="1" applyBorder="1" applyAlignment="1">
      <alignment horizontal="center"/>
    </xf>
    <xf numFmtId="0" fontId="13" fillId="0" borderId="36" xfId="0" applyFont="1" applyBorder="1" applyAlignment="1">
      <alignment horizontal="center"/>
    </xf>
    <xf numFmtId="0" fontId="13" fillId="0" borderId="38" xfId="0" applyFont="1" applyBorder="1" applyAlignment="1">
      <alignment horizontal="center"/>
    </xf>
    <xf numFmtId="0" fontId="12" fillId="16" borderId="10" xfId="0" applyFont="1" applyFill="1" applyBorder="1" applyAlignment="1">
      <alignment horizontal="center"/>
    </xf>
    <xf numFmtId="0" fontId="12" fillId="16" borderId="11" xfId="0" applyFont="1" applyFill="1" applyBorder="1" applyAlignment="1">
      <alignment horizontal="center"/>
    </xf>
    <xf numFmtId="0" fontId="12" fillId="16" borderId="12" xfId="0" applyFont="1" applyFill="1" applyBorder="1" applyAlignment="1">
      <alignment horizontal="center"/>
    </xf>
    <xf numFmtId="0" fontId="12" fillId="0" borderId="7" xfId="0" applyFont="1" applyBorder="1" applyAlignment="1">
      <alignment horizontal="center" vertical="center"/>
    </xf>
    <xf numFmtId="0" fontId="13" fillId="15" borderId="7" xfId="0" applyFont="1" applyFill="1" applyBorder="1" applyAlignment="1" applyProtection="1">
      <alignment horizontal="center" vertical="center" wrapText="1"/>
      <protection locked="0"/>
    </xf>
    <xf numFmtId="0" fontId="13" fillId="0" borderId="7" xfId="0" applyFont="1" applyBorder="1" applyAlignment="1">
      <alignment horizontal="left" vertical="center"/>
    </xf>
    <xf numFmtId="0" fontId="13" fillId="0" borderId="10" xfId="0" applyFont="1" applyFill="1" applyBorder="1" applyAlignment="1">
      <alignment horizontal="left"/>
    </xf>
    <xf numFmtId="0" fontId="13" fillId="0" borderId="11" xfId="0" applyFont="1" applyFill="1" applyBorder="1" applyAlignment="1">
      <alignment horizontal="left"/>
    </xf>
    <xf numFmtId="0" fontId="13" fillId="0" borderId="12" xfId="0" applyFont="1" applyFill="1" applyBorder="1" applyAlignment="1">
      <alignment horizontal="left"/>
    </xf>
    <xf numFmtId="2" fontId="17" fillId="0" borderId="7" xfId="0" applyNumberFormat="1" applyFont="1" applyBorder="1" applyAlignment="1">
      <alignment horizontal="center" vertical="center"/>
    </xf>
    <xf numFmtId="0" fontId="14" fillId="0" borderId="7" xfId="0" applyFont="1" applyBorder="1" applyAlignment="1">
      <alignment horizontal="center" vertical="center"/>
    </xf>
    <xf numFmtId="0" fontId="12" fillId="0" borderId="7" xfId="0" applyFont="1" applyBorder="1" applyAlignment="1">
      <alignment horizontal="center"/>
    </xf>
    <xf numFmtId="0" fontId="13" fillId="9" borderId="8" xfId="0" applyFont="1" applyFill="1" applyBorder="1" applyAlignment="1">
      <alignment horizontal="center" vertical="center"/>
    </xf>
    <xf numFmtId="0" fontId="13" fillId="9" borderId="39" xfId="0" applyFont="1" applyFill="1" applyBorder="1" applyAlignment="1">
      <alignment horizontal="center" vertical="center"/>
    </xf>
    <xf numFmtId="0" fontId="13" fillId="9" borderId="9"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39" xfId="0" applyFont="1" applyFill="1" applyBorder="1" applyAlignment="1">
      <alignment horizontal="center" vertical="center"/>
    </xf>
    <xf numFmtId="0" fontId="13" fillId="10" borderId="9"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9" xfId="0" applyFont="1" applyFill="1" applyBorder="1" applyAlignment="1">
      <alignment horizontal="center" vertical="center"/>
    </xf>
    <xf numFmtId="0" fontId="17" fillId="7" borderId="7" xfId="0" applyFont="1" applyFill="1" applyBorder="1" applyAlignment="1">
      <alignment horizontal="center" vertical="center"/>
    </xf>
    <xf numFmtId="2" fontId="13" fillId="9" borderId="32" xfId="0" applyNumberFormat="1" applyFont="1" applyFill="1" applyBorder="1" applyAlignment="1">
      <alignment horizontal="center" vertical="center"/>
    </xf>
    <xf numFmtId="2" fontId="13" fillId="9" borderId="20" xfId="0" applyNumberFormat="1" applyFont="1" applyFill="1" applyBorder="1" applyAlignment="1">
      <alignment horizontal="center" vertical="center"/>
    </xf>
    <xf numFmtId="2" fontId="13" fillId="9" borderId="38" xfId="0"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7" fillId="8" borderId="7" xfId="0" applyFont="1" applyFill="1" applyBorder="1" applyAlignment="1">
      <alignment horizontal="center" vertical="center"/>
    </xf>
    <xf numFmtId="0" fontId="17" fillId="9" borderId="7" xfId="0" applyFont="1" applyFill="1" applyBorder="1" applyAlignment="1">
      <alignment horizontal="center" vertical="center"/>
    </xf>
    <xf numFmtId="0" fontId="17" fillId="10" borderId="7" xfId="0" applyFont="1" applyFill="1" applyBorder="1" applyAlignment="1">
      <alignment horizontal="center" vertical="center"/>
    </xf>
    <xf numFmtId="0" fontId="17" fillId="11" borderId="7" xfId="0" applyFont="1" applyFill="1" applyBorder="1" applyAlignment="1">
      <alignment horizontal="center" vertical="center"/>
    </xf>
    <xf numFmtId="0" fontId="13" fillId="0" borderId="21" xfId="0" applyFont="1" applyBorder="1" applyAlignment="1">
      <alignment horizontal="right"/>
    </xf>
    <xf numFmtId="0" fontId="13" fillId="0" borderId="20" xfId="0" applyFont="1" applyBorder="1" applyAlignment="1">
      <alignment horizontal="right"/>
    </xf>
    <xf numFmtId="0" fontId="13" fillId="0" borderId="31" xfId="0" applyFont="1" applyBorder="1" applyAlignment="1">
      <alignment horizontal="right"/>
    </xf>
    <xf numFmtId="0" fontId="13" fillId="0" borderId="32" xfId="0" applyFont="1" applyBorder="1" applyAlignment="1">
      <alignment horizontal="right"/>
    </xf>
    <xf numFmtId="0" fontId="13" fillId="0" borderId="9" xfId="0" applyFont="1" applyBorder="1" applyAlignment="1">
      <alignment horizontal="right"/>
    </xf>
    <xf numFmtId="0" fontId="13" fillId="11" borderId="7" xfId="0" applyFont="1" applyFill="1" applyBorder="1" applyAlignment="1">
      <alignment horizontal="center" vertical="center"/>
    </xf>
    <xf numFmtId="0" fontId="13" fillId="7" borderId="7" xfId="0" applyFont="1" applyFill="1" applyBorder="1" applyAlignment="1">
      <alignment horizontal="center" vertical="center"/>
    </xf>
    <xf numFmtId="0" fontId="13" fillId="8" borderId="7" xfId="0" applyFont="1" applyFill="1" applyBorder="1" applyAlignment="1">
      <alignment horizontal="center" vertical="center"/>
    </xf>
    <xf numFmtId="0" fontId="13" fillId="9" borderId="7" xfId="0" applyFont="1" applyFill="1" applyBorder="1" applyAlignment="1">
      <alignment horizontal="center" vertical="center"/>
    </xf>
    <xf numFmtId="0" fontId="13" fillId="10" borderId="7" xfId="0" applyFont="1" applyFill="1" applyBorder="1" applyAlignment="1">
      <alignment horizontal="center" vertical="center"/>
    </xf>
    <xf numFmtId="0" fontId="9" fillId="14" borderId="8" xfId="0" applyFont="1" applyFill="1" applyBorder="1" applyAlignment="1">
      <alignment horizontal="center" vertical="center"/>
    </xf>
    <xf numFmtId="0" fontId="9" fillId="14" borderId="9"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14" borderId="8"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left" vertical="center" wrapText="1"/>
    </xf>
    <xf numFmtId="0" fontId="0" fillId="0" borderId="41" xfId="0" applyBorder="1" applyAlignment="1">
      <alignment horizontal="left" vertical="center" wrapText="1"/>
    </xf>
    <xf numFmtId="0" fontId="0" fillId="0" borderId="1" xfId="0" applyBorder="1" applyAlignment="1">
      <alignment horizontal="center" vertical="center" wrapText="1"/>
    </xf>
    <xf numFmtId="0" fontId="0" fillId="0" borderId="41" xfId="0" applyBorder="1" applyAlignment="1">
      <alignment horizontal="center" vertical="center" wrapText="1"/>
    </xf>
    <xf numFmtId="0" fontId="0" fillId="6" borderId="59" xfId="0" applyFill="1" applyBorder="1" applyProtection="1">
      <protection locked="0"/>
    </xf>
    <xf numFmtId="0" fontId="0" fillId="6" borderId="60" xfId="0" applyFill="1" applyBorder="1" applyProtection="1">
      <protection locked="0"/>
    </xf>
    <xf numFmtId="0" fontId="0" fillId="6" borderId="61" xfId="0" applyFill="1" applyBorder="1" applyProtection="1">
      <protection locked="0"/>
    </xf>
    <xf numFmtId="0" fontId="0" fillId="6" borderId="10" xfId="0" applyFill="1" applyBorder="1" applyAlignment="1" applyProtection="1">
      <alignment horizontal="left"/>
      <protection locked="0"/>
    </xf>
    <xf numFmtId="0" fontId="0" fillId="6" borderId="11" xfId="0" applyFill="1" applyBorder="1" applyAlignment="1" applyProtection="1">
      <alignment horizontal="left"/>
      <protection locked="0"/>
    </xf>
    <xf numFmtId="0" fontId="0" fillId="6" borderId="56" xfId="0" applyFill="1" applyBorder="1" applyAlignment="1" applyProtection="1">
      <alignment horizontal="left"/>
      <protection locked="0"/>
    </xf>
    <xf numFmtId="0" fontId="0" fillId="6" borderId="10" xfId="0" applyFill="1" applyBorder="1" applyProtection="1">
      <protection locked="0"/>
    </xf>
    <xf numFmtId="0" fontId="0" fillId="6" borderId="11" xfId="0" applyFill="1" applyBorder="1" applyProtection="1">
      <protection locked="0"/>
    </xf>
    <xf numFmtId="0" fontId="0" fillId="6" borderId="56" xfId="0" applyFill="1" applyBorder="1" applyProtection="1">
      <protection locked="0"/>
    </xf>
    <xf numFmtId="0" fontId="13" fillId="6" borderId="21" xfId="0" applyFont="1" applyFill="1" applyBorder="1" applyAlignment="1">
      <alignment horizontal="center"/>
    </xf>
    <xf numFmtId="0" fontId="13" fillId="6" borderId="40" xfId="0" applyFont="1" applyFill="1" applyBorder="1" applyAlignment="1">
      <alignment horizontal="center"/>
    </xf>
    <xf numFmtId="0" fontId="13" fillId="6" borderId="20" xfId="0" applyFont="1" applyFill="1" applyBorder="1" applyAlignment="1">
      <alignment horizontal="center"/>
    </xf>
  </cellXfs>
  <cellStyles count="5">
    <cellStyle name="40% - Accent1" xfId="3" builtinId="31"/>
    <cellStyle name="Currency" xfId="4" builtinId="4"/>
    <cellStyle name="Normal" xfId="0" builtinId="0"/>
    <cellStyle name="Normal 2" xfId="1" xr:uid="{00000000-0005-0000-0000-000002000000}"/>
    <cellStyle name="Percent" xfId="2" builtinId="5"/>
  </cellStyles>
  <dxfs count="1749">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theme="0"/>
      </font>
    </dxf>
    <dxf>
      <font>
        <color theme="0"/>
      </font>
    </dxf>
    <dxf>
      <font>
        <color theme="0"/>
      </font>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numRef>
              <c:f>('Data Summary'!$F$21,'Data Summary'!$A$32)</c:f>
              <c:numCache>
                <c:formatCode>General</c:formatCode>
                <c:ptCount val="2"/>
                <c:pt idx="0">
                  <c:v>#N/A</c:v>
                </c:pt>
                <c:pt idx="1">
                  <c:v>#N/A</c:v>
                </c:pt>
              </c:numCache>
            </c:numRef>
          </c:xVal>
          <c:yVal>
            <c:numRef>
              <c:f>('Data Summary'!$C$27,'Data Summary'!$C$27)</c:f>
              <c:numCache>
                <c:formatCode>General</c:formatCode>
                <c:ptCount val="2"/>
                <c:pt idx="0">
                  <c:v>0</c:v>
                </c:pt>
                <c:pt idx="1">
                  <c:v>0</c:v>
                </c:pt>
              </c:numCache>
            </c:numRef>
          </c:yVal>
          <c:smooth val="0"/>
          <c:extLst>
            <c:ext xmlns:c16="http://schemas.microsoft.com/office/drawing/2014/chart" uri="{C3380CC4-5D6E-409C-BE32-E72D297353CC}">
              <c16:uniqueId val="{00000000-377C-4EA9-9858-DD24FD97EF7F}"/>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numRef>
              <c:f>('Data Summary'!$F$21,'Data Summary'!$A$32)</c:f>
              <c:numCache>
                <c:formatCode>General</c:formatCode>
                <c:ptCount val="2"/>
                <c:pt idx="0">
                  <c:v>#N/A</c:v>
                </c:pt>
                <c:pt idx="1">
                  <c:v>#N/A</c:v>
                </c:pt>
              </c:numCache>
            </c:numRef>
          </c:xVal>
          <c:yVal>
            <c:numRef>
              <c:f>('Data Summary'!$D$27,'Data Summary'!$D$27)</c:f>
              <c:numCache>
                <c:formatCode>General</c:formatCode>
                <c:ptCount val="2"/>
                <c:pt idx="0">
                  <c:v>0</c:v>
                </c:pt>
                <c:pt idx="1">
                  <c:v>0</c:v>
                </c:pt>
              </c:numCache>
            </c:numRef>
          </c:yVal>
          <c:smooth val="0"/>
          <c:extLst>
            <c:ext xmlns:c16="http://schemas.microsoft.com/office/drawing/2014/chart" uri="{C3380CC4-5D6E-409C-BE32-E72D297353CC}">
              <c16:uniqueId val="{00000001-377C-4EA9-9858-DD24FD97EF7F}"/>
            </c:ext>
          </c:extLst>
        </c:ser>
        <c:ser>
          <c:idx val="3"/>
          <c:order val="2"/>
          <c:tx>
            <c:strRef>
              <c:f>'Data Summary'!$E$20:$E$21</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Summary'!$F$21,'Data Summary'!$A$32)</c:f>
              <c:numCache>
                <c:formatCode>General</c:formatCode>
                <c:ptCount val="2"/>
                <c:pt idx="0">
                  <c:v>#N/A</c:v>
                </c:pt>
                <c:pt idx="1">
                  <c:v>#N/A</c:v>
                </c:pt>
              </c:numCache>
            </c:numRef>
          </c:xVal>
          <c:yVal>
            <c:numRef>
              <c:f>('Data Summary'!$E$27,'Data Summary'!$E$27)</c:f>
              <c:numCache>
                <c:formatCode>General</c:formatCode>
                <c:ptCount val="2"/>
                <c:pt idx="0">
                  <c:v>0</c:v>
                </c:pt>
                <c:pt idx="1">
                  <c:v>0</c:v>
                </c:pt>
              </c:numCache>
            </c:numRef>
          </c:yVal>
          <c:smooth val="0"/>
          <c:extLs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Summary'!$F$27:$O$27</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516304584"/>
        <c:axId val="516308112"/>
      </c:scatterChart>
      <c:valAx>
        <c:axId val="51630458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6308112"/>
        <c:crosses val="autoZero"/>
        <c:crossBetween val="midCat"/>
      </c:valAx>
      <c:valAx>
        <c:axId val="5163081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63045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A and B Stream Types</a:t>
            </a:r>
          </a:p>
        </c:rich>
      </c:tx>
      <c:layout>
        <c:manualLayout>
          <c:xMode val="edge"/>
          <c:yMode val="edge"/>
          <c:x val="0.25153508786373335"/>
          <c:y val="1.83820688059407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2610021626101518"/>
                  <c:y val="-0.5996358229367938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Standards'!$U$316:$Z$316</c:f>
              <c:numCache>
                <c:formatCode>0.0</c:formatCode>
                <c:ptCount val="6"/>
                <c:pt idx="0">
                  <c:v>6.5</c:v>
                </c:pt>
                <c:pt idx="4" formatCode="General">
                  <c:v>5</c:v>
                </c:pt>
                <c:pt idx="5" formatCode="General">
                  <c:v>4</c:v>
                </c:pt>
              </c:numCache>
            </c:numRef>
          </c:xVal>
          <c:yVal>
            <c:numRef>
              <c:f>'Reference Standards'!$U$317:$Z$317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F89-4AE3-A340-207A3C2A9FF9}"/>
            </c:ext>
          </c:extLst>
        </c:ser>
        <c:dLbls>
          <c:showLegendKey val="0"/>
          <c:showVal val="0"/>
          <c:showCatName val="0"/>
          <c:showSerName val="0"/>
          <c:showPercent val="0"/>
          <c:showBubbleSize val="0"/>
        </c:dLbls>
        <c:axId val="380704208"/>
        <c:axId val="379723504"/>
      </c:scatterChart>
      <c:valAx>
        <c:axId val="38070420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23504"/>
        <c:crosses val="autoZero"/>
        <c:crossBetween val="midCat"/>
      </c:valAx>
      <c:valAx>
        <c:axId val="3797235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04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Pool Spacing Ratio for Bc Stream Types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5435434437464549"/>
                  <c:y val="-0.501442940547464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Standards'!$U$348:$Z$348</c:f>
              <c:numCache>
                <c:formatCode>0.0</c:formatCode>
                <c:ptCount val="6"/>
                <c:pt idx="0">
                  <c:v>8</c:v>
                </c:pt>
                <c:pt idx="4" formatCode="General">
                  <c:v>6</c:v>
                </c:pt>
                <c:pt idx="5" formatCode="General">
                  <c:v>5</c:v>
                </c:pt>
              </c:numCache>
            </c:numRef>
          </c:xVal>
          <c:yVal>
            <c:numRef>
              <c:f>'Reference Standards'!$U$349:$Z$349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C14F-47BE-9206-E7937E692AD6}"/>
            </c:ext>
          </c:extLst>
        </c:ser>
        <c:dLbls>
          <c:showLegendKey val="0"/>
          <c:showVal val="0"/>
          <c:showCatName val="0"/>
          <c:showSerName val="0"/>
          <c:showPercent val="0"/>
          <c:showBubbleSize val="0"/>
        </c:dLbls>
        <c:axId val="379719192"/>
        <c:axId val="379719976"/>
      </c:scatterChart>
      <c:valAx>
        <c:axId val="379719192"/>
        <c:scaling>
          <c:orientation val="minMax"/>
          <c:max val="8"/>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19976"/>
        <c:crosses val="autoZero"/>
        <c:crossBetween val="midCat"/>
      </c:valAx>
      <c:valAx>
        <c:axId val="3797199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191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Depth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4.1920268829909173E-2"/>
                  <c:y val="0.1026817723908937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Standards'!$U$382:$Y$382</c:f>
              <c:numCache>
                <c:formatCode>General</c:formatCode>
                <c:ptCount val="5"/>
                <c:pt idx="0" formatCode="0.00">
                  <c:v>1.1000000000000001</c:v>
                </c:pt>
                <c:pt idx="2">
                  <c:v>1.5</c:v>
                </c:pt>
                <c:pt idx="4">
                  <c:v>2</c:v>
                </c:pt>
              </c:numCache>
            </c:numRef>
          </c:xVal>
          <c:yVal>
            <c:numRef>
              <c:f>'Reference Standards'!$U$383:$Y$383</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8EC5-4A07-8D5B-D3562716BC89}"/>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998064801246714"/>
                  <c:y val="7.2874326989901941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Standards'!$Y$382:$Z$382</c:f>
              <c:numCache>
                <c:formatCode>0.00</c:formatCode>
                <c:ptCount val="2"/>
                <c:pt idx="0" formatCode="General">
                  <c:v>2</c:v>
                </c:pt>
                <c:pt idx="1">
                  <c:v>3</c:v>
                </c:pt>
              </c:numCache>
            </c:numRef>
          </c:xVal>
          <c:yVal>
            <c:numRef>
              <c:f>'Reference Standards'!$Y$383:$Z$383</c:f>
              <c:numCache>
                <c:formatCode>General</c:formatCode>
                <c:ptCount val="2"/>
                <c:pt idx="0">
                  <c:v>0.7</c:v>
                </c:pt>
                <c:pt idx="1">
                  <c:v>1</c:v>
                </c:pt>
              </c:numCache>
            </c:numRef>
          </c:yVal>
          <c:smooth val="0"/>
          <c:extLst>
            <c:ext xmlns:c16="http://schemas.microsoft.com/office/drawing/2014/chart" uri="{C3380CC4-5D6E-409C-BE32-E72D297353CC}">
              <c16:uniqueId val="{00000000-6121-4ADE-A1F7-55E2A9FD0207}"/>
            </c:ext>
          </c:extLst>
        </c:ser>
        <c:dLbls>
          <c:showLegendKey val="0"/>
          <c:showVal val="0"/>
          <c:showCatName val="0"/>
          <c:showSerName val="0"/>
          <c:showPercent val="0"/>
          <c:showBubbleSize val="0"/>
        </c:dLbls>
        <c:axId val="454937752"/>
        <c:axId val="454937360"/>
      </c:scatterChart>
      <c:valAx>
        <c:axId val="454937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37360"/>
        <c:crosses val="autoZero"/>
        <c:crossBetween val="midCat"/>
      </c:valAx>
      <c:valAx>
        <c:axId val="4549373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37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 </a:t>
            </a:r>
            <a:r>
              <a:rPr lang="en-US"/>
              <a:t>Stream Types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6317693442954452E-2"/>
                  <c:y val="9.2021190961847257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Standards'!$U$416:$Z$416</c:f>
              <c:numCache>
                <c:formatCode>General</c:formatCode>
                <c:ptCount val="6"/>
                <c:pt idx="0" formatCode="0">
                  <c:v>20</c:v>
                </c:pt>
                <c:pt idx="5">
                  <c:v>50</c:v>
                </c:pt>
              </c:numCache>
            </c:numRef>
          </c:xVal>
          <c:yVal>
            <c:numRef>
              <c:f>'Reference Standards'!$U$418:$Z$418</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33CC-400E-91D8-8DB0C3E7DC9D}"/>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2.8311500997831546E-2"/>
                  <c:y val="-3.5539841744354539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Standards'!$U$417:$Z$417</c:f>
              <c:numCache>
                <c:formatCode>General</c:formatCode>
                <c:ptCount val="6"/>
                <c:pt idx="0" formatCode="0">
                  <c:v>90</c:v>
                </c:pt>
                <c:pt idx="5">
                  <c:v>60</c:v>
                </c:pt>
              </c:numCache>
            </c:numRef>
          </c:xVal>
          <c:yVal>
            <c:numRef>
              <c:f>'Reference Standards'!$U$418:$Z$418</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3CC-400E-91D8-8DB0C3E7DC9D}"/>
            </c:ext>
          </c:extLst>
        </c:ser>
        <c:ser>
          <c:idx val="2"/>
          <c:order val="2"/>
          <c:spPr>
            <a:ln w="25400" cap="rnd">
              <a:solidFill>
                <a:schemeClr val="tx1"/>
              </a:solidFill>
              <a:round/>
            </a:ln>
            <a:effectLst/>
          </c:spPr>
          <c:marker>
            <c:symbol val="none"/>
          </c:marker>
          <c:trendline>
            <c:spPr>
              <a:ln w="25400" cap="rnd">
                <a:noFill/>
                <a:prstDash val="sysDot"/>
              </a:ln>
              <a:effectLst/>
            </c:spPr>
            <c:trendlineType val="linear"/>
            <c:dispRSqr val="0"/>
            <c:dispEq val="0"/>
          </c:trendline>
          <c:xVal>
            <c:numRef>
              <c:f>('Reference Standards'!$Z$416,'Reference Standards'!$Z$417)</c:f>
              <c:numCache>
                <c:formatCode>General</c:formatCode>
                <c:ptCount val="2"/>
                <c:pt idx="0">
                  <c:v>50</c:v>
                </c:pt>
                <c:pt idx="1">
                  <c:v>60</c:v>
                </c:pt>
              </c:numCache>
            </c:numRef>
          </c:xVal>
          <c:yVal>
            <c:numRef>
              <c:f>('Reference Standards'!$Z$418,'Reference Standards'!$Z$418)</c:f>
              <c:numCache>
                <c:formatCode>General</c:formatCode>
                <c:ptCount val="2"/>
                <c:pt idx="0">
                  <c:v>1</c:v>
                </c:pt>
                <c:pt idx="1">
                  <c:v>1</c:v>
                </c:pt>
              </c:numCache>
            </c:numRef>
          </c:yVal>
          <c:smooth val="0"/>
          <c:extLs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454938536"/>
        <c:axId val="454939320"/>
      </c:scatterChart>
      <c:valAx>
        <c:axId val="454938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39320"/>
        <c:crosses val="autoZero"/>
        <c:crossBetween val="midCat"/>
      </c:valAx>
      <c:valAx>
        <c:axId val="45493932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38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54940104"/>
        <c:axId val="454940496"/>
      </c:scatterChart>
      <c:valAx>
        <c:axId val="454940104"/>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40496"/>
        <c:crosses val="autoZero"/>
        <c:crossBetween val="midCat"/>
      </c:valAx>
      <c:valAx>
        <c:axId val="4549404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401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C and E Stream Types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7494478331226158E-2"/>
                  <c:y val="0.1233991355468350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Standards'!$U$451:$Z$451</c:f>
              <c:numCache>
                <c:formatCode>General</c:formatCode>
                <c:ptCount val="6"/>
                <c:pt idx="0" formatCode="0">
                  <c:v>20</c:v>
                </c:pt>
                <c:pt idx="5">
                  <c:v>45</c:v>
                </c:pt>
              </c:numCache>
            </c:numRef>
          </c:xVal>
          <c:yVal>
            <c:numRef>
              <c:f>'Reference Standards'!$U$453:$Z$453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FAAA-4519-8328-5CF476756B3D}"/>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6554214059495811"/>
                  <c:y val="-0.244954648351259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Standards'!$U$452:$Z$452</c:f>
              <c:numCache>
                <c:formatCode>General</c:formatCode>
                <c:ptCount val="6"/>
                <c:pt idx="0" formatCode="0">
                  <c:v>85</c:v>
                </c:pt>
                <c:pt idx="5">
                  <c:v>65</c:v>
                </c:pt>
              </c:numCache>
            </c:numRef>
          </c:xVal>
          <c:yVal>
            <c:numRef>
              <c:f>'Reference Standards'!$U$453:$Z$453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FAAA-4519-8328-5CF476756B3D}"/>
            </c:ext>
          </c:extLst>
        </c:ser>
        <c:ser>
          <c:idx val="4"/>
          <c:order val="2"/>
          <c:spPr>
            <a:ln w="25400" cap="rnd">
              <a:solidFill>
                <a:schemeClr val="tx1"/>
              </a:solidFill>
              <a:round/>
            </a:ln>
            <a:effectLst/>
          </c:spPr>
          <c:marker>
            <c:symbol val="none"/>
          </c:marker>
          <c:dPt>
            <c:idx val="0"/>
            <c:marker>
              <c:symbol val="none"/>
            </c:marker>
            <c:bubble3D val="0"/>
            <c:spPr>
              <a:ln w="25400" cap="rnd">
                <a:solidFill>
                  <a:schemeClr val="tx1"/>
                </a:solidFill>
                <a:round/>
              </a:ln>
              <a:effectLst/>
            </c:spPr>
            <c:extLst>
              <c:ext xmlns:c16="http://schemas.microsoft.com/office/drawing/2014/chart" uri="{C3380CC4-5D6E-409C-BE32-E72D297353CC}">
                <c16:uniqueId val="{00000003-8FD2-41B5-A119-EE282160B9A9}"/>
              </c:ext>
            </c:extLst>
          </c:dPt>
          <c:xVal>
            <c:numRef>
              <c:f>('Reference Standards'!$Z$451,'Reference Standards'!$Z$452)</c:f>
              <c:numCache>
                <c:formatCode>General</c:formatCode>
                <c:ptCount val="2"/>
                <c:pt idx="0">
                  <c:v>45</c:v>
                </c:pt>
                <c:pt idx="1">
                  <c:v>65</c:v>
                </c:pt>
              </c:numCache>
            </c:numRef>
          </c:xVal>
          <c:yVal>
            <c:numRef>
              <c:f>('Reference Standards'!$Z$453,'Reference Standards'!$Z$453)</c:f>
              <c:numCache>
                <c:formatCode>General</c:formatCode>
                <c:ptCount val="2"/>
                <c:pt idx="0">
                  <c:v>1</c:v>
                </c:pt>
                <c:pt idx="1">
                  <c:v>1</c:v>
                </c:pt>
              </c:numCache>
            </c:numRef>
          </c:yVal>
          <c:smooth val="0"/>
          <c:extLst>
            <c:ext xmlns:c16="http://schemas.microsoft.com/office/drawing/2014/chart" uri="{C3380CC4-5D6E-409C-BE32-E72D297353CC}">
              <c16:uniqueId val="{00000000-A7A2-4FE8-9BB0-A3EA7C27BDD0}"/>
            </c:ext>
          </c:extLst>
        </c:ser>
        <c:dLbls>
          <c:showLegendKey val="0"/>
          <c:showVal val="0"/>
          <c:showCatName val="0"/>
          <c:showSerName val="0"/>
          <c:showPercent val="0"/>
          <c:showBubbleSize val="0"/>
        </c:dLbls>
        <c:axId val="454940888"/>
        <c:axId val="450375544"/>
      </c:scatterChart>
      <c:valAx>
        <c:axId val="454940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5544"/>
        <c:crosses val="autoZero"/>
        <c:crossBetween val="midCat"/>
      </c:valAx>
      <c:valAx>
        <c:axId val="4503755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940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50376720"/>
        <c:axId val="380702640"/>
      </c:scatterChart>
      <c:valAx>
        <c:axId val="450376720"/>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02640"/>
        <c:crosses val="autoZero"/>
        <c:crossBetween val="midCat"/>
      </c:valAx>
      <c:valAx>
        <c:axId val="3807026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6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3241249192675539"/>
                  <c:y val="9.2825934727743975E-2"/>
                </c:manualLayout>
              </c:layout>
              <c:numFmt formatCode="0.000000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Standards'!$U$247:$Z$247</c:f>
              <c:numCache>
                <c:formatCode>General</c:formatCode>
                <c:ptCount val="6"/>
                <c:pt idx="0">
                  <c:v>0</c:v>
                </c:pt>
                <c:pt idx="5">
                  <c:v>80</c:v>
                </c:pt>
              </c:numCache>
            </c:numRef>
          </c:xVal>
          <c:yVal>
            <c:numRef>
              <c:f>'Reference Standards'!$U$248:$Z$248</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4D1B-4534-82B9-CBA282048D48}"/>
            </c:ext>
          </c:extLst>
        </c:ser>
        <c:dLbls>
          <c:showLegendKey val="0"/>
          <c:showVal val="0"/>
          <c:showCatName val="0"/>
          <c:showSerName val="0"/>
          <c:showPercent val="0"/>
          <c:showBubbleSize val="0"/>
        </c:dLbls>
        <c:axId val="455919704"/>
        <c:axId val="455914216"/>
      </c:scatterChart>
      <c:valAx>
        <c:axId val="455919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914216"/>
        <c:crosses val="autoZero"/>
        <c:crossBetween val="midCat"/>
      </c:valAx>
      <c:valAx>
        <c:axId val="455914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919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Macroinvertebrates - P51 Wadeable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2986456938976333E-2"/>
                  <c:y val="0.3193663801945359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Standards'!$AM$9:$AR$9</c:f>
              <c:numCache>
                <c:formatCode>General</c:formatCode>
                <c:ptCount val="6"/>
                <c:pt idx="0">
                  <c:v>-9</c:v>
                </c:pt>
                <c:pt idx="2">
                  <c:v>-4</c:v>
                </c:pt>
                <c:pt idx="3">
                  <c:v>4</c:v>
                </c:pt>
                <c:pt idx="5">
                  <c:v>9</c:v>
                </c:pt>
              </c:numCache>
            </c:numRef>
          </c:xVal>
          <c:yVal>
            <c:numRef>
              <c:f>'Reference Standards'!$AM$10:$AR$10</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25F3-4C44-8C4A-1CBF24513F48}"/>
            </c:ext>
          </c:extLst>
        </c:ser>
        <c:dLbls>
          <c:showLegendKey val="0"/>
          <c:showVal val="0"/>
          <c:showCatName val="0"/>
          <c:showSerName val="0"/>
          <c:showPercent val="0"/>
          <c:showBubbleSize val="0"/>
        </c:dLbls>
        <c:axId val="455921272"/>
        <c:axId val="455915784"/>
      </c:scatterChart>
      <c:valAx>
        <c:axId val="455921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5915784"/>
        <c:crosses val="autoZero"/>
        <c:crossBetween val="midCat"/>
      </c:valAx>
      <c:valAx>
        <c:axId val="45591578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5921272"/>
        <c:crossesAt val="-1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Macroinvertebrates - P22 Non-Wadeable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3.0711239434814196E-2"/>
                  <c:y val="0.4085787680604372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Standards'!$AM$42:$AR$42</c:f>
              <c:numCache>
                <c:formatCode>General</c:formatCode>
                <c:ptCount val="6"/>
                <c:pt idx="0">
                  <c:v>0</c:v>
                </c:pt>
                <c:pt idx="2">
                  <c:v>25</c:v>
                </c:pt>
                <c:pt idx="3">
                  <c:v>75</c:v>
                </c:pt>
                <c:pt idx="5">
                  <c:v>100</c:v>
                </c:pt>
              </c:numCache>
            </c:numRef>
          </c:xVal>
          <c:yVal>
            <c:numRef>
              <c:f>'Reference Standards'!$AM$43:$AR$43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8E5C-438D-8CCF-3A53D164C7AA}"/>
            </c:ext>
          </c:extLst>
        </c:ser>
        <c:dLbls>
          <c:showLegendKey val="0"/>
          <c:showVal val="0"/>
          <c:showCatName val="0"/>
          <c:showSerName val="0"/>
          <c:showPercent val="0"/>
          <c:showBubbleSize val="0"/>
        </c:dLbls>
        <c:axId val="455914608"/>
        <c:axId val="455915392"/>
      </c:scatterChart>
      <c:valAx>
        <c:axId val="455914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915392"/>
        <c:crosses val="autoZero"/>
        <c:crossBetween val="midCat"/>
      </c:valAx>
      <c:valAx>
        <c:axId val="4559153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9146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numRef>
              <c:f>('Data Summary'!$F$21,'Data Summary'!$A$32)</c:f>
              <c:numCache>
                <c:formatCode>General</c:formatCode>
                <c:ptCount val="2"/>
                <c:pt idx="0">
                  <c:v>#N/A</c:v>
                </c:pt>
                <c:pt idx="1">
                  <c:v>#N/A</c:v>
                </c:pt>
              </c:numCache>
            </c:numRef>
          </c:xVal>
          <c:yVal>
            <c:numRef>
              <c:f>('Data Summary'!$C$28,'Data Summary'!$C$28)</c:f>
              <c:numCache>
                <c:formatCode>General</c:formatCode>
                <c:ptCount val="2"/>
                <c:pt idx="0">
                  <c:v>0</c:v>
                </c:pt>
                <c:pt idx="1">
                  <c:v>0</c:v>
                </c:pt>
              </c:numCache>
            </c:numRef>
          </c:yVal>
          <c:smooth val="0"/>
          <c:extLst>
            <c:ext xmlns:c16="http://schemas.microsoft.com/office/drawing/2014/chart" uri="{C3380CC4-5D6E-409C-BE32-E72D297353CC}">
              <c16:uniqueId val="{00000001-BF5F-49D1-B7E8-F18A8E0EDA1E}"/>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numRef>
              <c:f>('Data Summary'!$F$21,'Data Summary'!$A$32)</c:f>
              <c:numCache>
                <c:formatCode>General</c:formatCode>
                <c:ptCount val="2"/>
                <c:pt idx="0">
                  <c:v>#N/A</c:v>
                </c:pt>
                <c:pt idx="1">
                  <c:v>#N/A</c:v>
                </c:pt>
              </c:numCache>
            </c:numRef>
          </c:xVal>
          <c:yVal>
            <c:numRef>
              <c:f>('Data Summary'!$D$28,'Data Summary'!$D$28)</c:f>
              <c:numCache>
                <c:formatCode>General</c:formatCode>
                <c:ptCount val="2"/>
                <c:pt idx="0">
                  <c:v>0</c:v>
                </c:pt>
                <c:pt idx="1">
                  <c:v>0</c:v>
                </c:pt>
              </c:numCache>
            </c:numRef>
          </c:yVal>
          <c:smooth val="0"/>
          <c:extLst>
            <c:ext xmlns:c16="http://schemas.microsoft.com/office/drawing/2014/chart" uri="{C3380CC4-5D6E-409C-BE32-E72D297353CC}">
              <c16:uniqueId val="{00000002-BF5F-49D1-B7E8-F18A8E0EDA1E}"/>
            </c:ext>
          </c:extLst>
        </c:ser>
        <c:ser>
          <c:idx val="3"/>
          <c:order val="2"/>
          <c:tx>
            <c:strRef>
              <c:f>'Data Summary'!$E$20:$E$21</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Summary'!$F$21,'Data Summary'!$A$32)</c:f>
              <c:numCache>
                <c:formatCode>General</c:formatCode>
                <c:ptCount val="2"/>
                <c:pt idx="0">
                  <c:v>#N/A</c:v>
                </c:pt>
                <c:pt idx="1">
                  <c:v>#N/A</c:v>
                </c:pt>
              </c:numCache>
            </c:numRef>
          </c:xVal>
          <c:yVal>
            <c:numRef>
              <c:f>('Data Summary'!$E$28,'Data Summary'!$E$28)</c:f>
              <c:numCache>
                <c:formatCode>General</c:formatCode>
                <c:ptCount val="2"/>
                <c:pt idx="0">
                  <c:v>0</c:v>
                </c:pt>
                <c:pt idx="1">
                  <c:v>0</c:v>
                </c:pt>
              </c:numCache>
            </c:numRef>
          </c:yVal>
          <c:smooth val="0"/>
          <c:extLs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Summary'!$F$28:$O$28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516308896"/>
        <c:axId val="516310072"/>
      </c:scatterChart>
      <c:valAx>
        <c:axId val="5163088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6310072"/>
        <c:crosses val="autoZero"/>
        <c:crossBetween val="midCat"/>
      </c:valAx>
      <c:valAx>
        <c:axId val="516310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630889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Armoring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1356791105407023E-2"/>
                  <c:y val="-0.61358655339940915"/>
                </c:manualLayout>
              </c:layout>
              <c:numFmt formatCode="#,##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Standards'!$U$77:$Z$77</c:f>
              <c:numCache>
                <c:formatCode>0.00</c:formatCode>
                <c:ptCount val="6"/>
                <c:pt idx="0" formatCode="General">
                  <c:v>30</c:v>
                </c:pt>
                <c:pt idx="2" formatCode="General">
                  <c:v>21</c:v>
                </c:pt>
                <c:pt idx="4" formatCode="General">
                  <c:v>9</c:v>
                </c:pt>
                <c:pt idx="5" formatCode="General">
                  <c:v>0</c:v>
                </c:pt>
              </c:numCache>
            </c:numRef>
          </c:xVal>
          <c:yVal>
            <c:numRef>
              <c:f>'Reference Standards'!$U$78:$Z$78</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8D73-44F2-AF23-B2C97665876A}"/>
            </c:ext>
          </c:extLst>
        </c:ser>
        <c:dLbls>
          <c:showLegendKey val="0"/>
          <c:showVal val="0"/>
          <c:showCatName val="0"/>
          <c:showSerName val="0"/>
          <c:showPercent val="0"/>
          <c:showBubbleSize val="0"/>
        </c:dLbls>
        <c:axId val="455796080"/>
        <c:axId val="455794512"/>
      </c:scatterChart>
      <c:valAx>
        <c:axId val="45579608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4512"/>
        <c:crosses val="autoZero"/>
        <c:crossBetween val="midCat"/>
      </c:valAx>
      <c:valAx>
        <c:axId val="4557945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60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Buffer Width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1907849744709026"/>
                  <c:y val="2.6658301107091082E-3"/>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Standards'!$U$111:$Z$111</c:f>
              <c:numCache>
                <c:formatCode>General</c:formatCode>
                <c:ptCount val="6"/>
                <c:pt idx="0">
                  <c:v>0</c:v>
                </c:pt>
                <c:pt idx="2">
                  <c:v>25</c:v>
                </c:pt>
                <c:pt idx="4">
                  <c:v>75</c:v>
                </c:pt>
                <c:pt idx="5">
                  <c:v>150</c:v>
                </c:pt>
              </c:numCache>
            </c:numRef>
          </c:xVal>
          <c:yVal>
            <c:numRef>
              <c:f>'Reference Standards'!$U$112:$Z$112</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4911-4DA5-AA4A-FD42E07D2D46}"/>
            </c:ext>
          </c:extLst>
        </c:ser>
        <c:dLbls>
          <c:showLegendKey val="0"/>
          <c:showVal val="0"/>
          <c:showCatName val="0"/>
          <c:showSerName val="0"/>
          <c:showPercent val="0"/>
          <c:showBubbleSize val="0"/>
        </c:dLbls>
        <c:axId val="455797256"/>
        <c:axId val="455792160"/>
      </c:scatterChart>
      <c:valAx>
        <c:axId val="4557972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2160"/>
        <c:crosses val="autoZero"/>
        <c:crossBetween val="midCat"/>
      </c:valAx>
      <c:valAx>
        <c:axId val="4557921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72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July Mean Temperature</a:t>
            </a:r>
            <a:r>
              <a:rPr lang="en-US" baseline="0"/>
              <a:t> </a:t>
            </a:r>
            <a:r>
              <a:rPr lang="en-US"/>
              <a:t>(°F)</a:t>
            </a:r>
          </a:p>
        </c:rich>
      </c:tx>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05442123270282"/>
          <c:y val="0.1220837970960067"/>
          <c:w val="0.65373908637573608"/>
          <c:h val="0.73907631118213946"/>
        </c:manualLayout>
      </c:layout>
      <c:scatterChart>
        <c:scatterStyle val="lineMarker"/>
        <c:varyColors val="0"/>
        <c:ser>
          <c:idx val="0"/>
          <c:order val="0"/>
          <c:tx>
            <c:strRef>
              <c:f>'Reference Standards'!$AC$9</c:f>
              <c:strCache>
                <c:ptCount val="1"/>
                <c:pt idx="0">
                  <c:v>Coldwater</c:v>
                </c:pt>
              </c:strCache>
            </c:strRef>
          </c:tx>
          <c:spPr>
            <a:ln w="25400" cap="rnd">
              <a:noFill/>
              <a:round/>
            </a:ln>
            <a:effectLst/>
          </c:spPr>
          <c:marker>
            <c:symbol val="circle"/>
            <c:size val="5"/>
            <c:spPr>
              <a:solidFill>
                <a:schemeClr val="accent1"/>
              </a:solidFill>
              <a:ln w="9525">
                <a:solidFill>
                  <a:schemeClr val="accent1"/>
                </a:solidFill>
              </a:ln>
              <a:effectLst/>
            </c:spPr>
          </c:marker>
          <c:dPt>
            <c:idx val="5"/>
            <c:marker>
              <c:symbol val="circle"/>
              <c:size val="5"/>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1-6AAA-4776-B8C4-FC2802ED6EF3}"/>
              </c:ext>
            </c:extLst>
          </c:dPt>
          <c:trendline>
            <c:spPr>
              <a:ln w="19050" cap="rnd">
                <a:solidFill>
                  <a:schemeClr val="accent1"/>
                </a:solidFill>
                <a:prstDash val="sysDot"/>
              </a:ln>
              <a:effectLst/>
            </c:spPr>
            <c:trendlineType val="poly"/>
            <c:order val="3"/>
            <c:forward val="4"/>
            <c:dispRSqr val="0"/>
            <c:dispEq val="1"/>
            <c:trendlineLbl>
              <c:layout>
                <c:manualLayout>
                  <c:x val="0.54139642232442731"/>
                  <c:y val="-8.6800686080002395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Standards'!$AD$9:$AI$9</c:f>
              <c:numCache>
                <c:formatCode>General</c:formatCode>
                <c:ptCount val="6"/>
                <c:pt idx="2">
                  <c:v>66.2</c:v>
                </c:pt>
                <c:pt idx="5" formatCode="0.0">
                  <c:v>59</c:v>
                </c:pt>
              </c:numCache>
            </c:numRef>
          </c:xVal>
          <c:yVal>
            <c:numRef>
              <c:f>'Reference Standards'!$AD$12:$AI$12</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EBF2-4A9E-821D-65699199DC52}"/>
            </c:ext>
          </c:extLst>
        </c:ser>
        <c:ser>
          <c:idx val="1"/>
          <c:order val="1"/>
          <c:tx>
            <c:v>Cold-transitional</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4"/>
            <c:dispRSqr val="0"/>
            <c:dispEq val="1"/>
            <c:trendlineLbl>
              <c:layout>
                <c:manualLayout>
                  <c:x val="0.38949944954538596"/>
                  <c:y val="-0.176002324393346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Standards'!$AD$10:$AI$10</c:f>
              <c:numCache>
                <c:formatCode>General</c:formatCode>
                <c:ptCount val="6"/>
                <c:pt idx="2">
                  <c:v>69.8</c:v>
                </c:pt>
                <c:pt idx="5">
                  <c:v>66.2</c:v>
                </c:pt>
              </c:numCache>
            </c:numRef>
          </c:xVal>
          <c:yVal>
            <c:numRef>
              <c:f>'Reference Standards'!$AD$12:$AI$12</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5423-4112-9381-24BB69907014}"/>
            </c:ext>
          </c:extLst>
        </c:ser>
        <c:ser>
          <c:idx val="2"/>
          <c:order val="2"/>
          <c:tx>
            <c:strRef>
              <c:f>'Reference Standards'!$AC$11</c:f>
              <c:strCache>
                <c:ptCount val="1"/>
                <c:pt idx="0">
                  <c:v>Warm &amp; Warm-transitional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forward val="4"/>
            <c:dispRSqr val="0"/>
            <c:dispEq val="0"/>
          </c:trendline>
          <c:trendline>
            <c:spPr>
              <a:ln w="19050" cap="rnd">
                <a:solidFill>
                  <a:schemeClr val="accent3"/>
                </a:solidFill>
                <a:prstDash val="sysDot"/>
              </a:ln>
              <a:effectLst/>
            </c:spPr>
            <c:trendlineType val="linear"/>
            <c:dispRSqr val="0"/>
            <c:dispEq val="1"/>
            <c:trendlineLbl>
              <c:layout>
                <c:manualLayout>
                  <c:x val="0.24720385821183283"/>
                  <c:y val="-0.1125083172918663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Standards'!$AD$11:$AI$11</c:f>
              <c:numCache>
                <c:formatCode>General</c:formatCode>
                <c:ptCount val="6"/>
                <c:pt idx="2">
                  <c:v>78.8</c:v>
                </c:pt>
                <c:pt idx="5">
                  <c:v>69.8</c:v>
                </c:pt>
              </c:numCache>
            </c:numRef>
          </c:xVal>
          <c:yVal>
            <c:numRef>
              <c:f>'Reference Standards'!$AD$12:$AI$12</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ABFB-4AD8-800D-8AFBFE8F1FC5}"/>
            </c:ext>
          </c:extLst>
        </c:ser>
        <c:dLbls>
          <c:showLegendKey val="0"/>
          <c:showVal val="0"/>
          <c:showCatName val="0"/>
          <c:showSerName val="0"/>
          <c:showPercent val="0"/>
          <c:showBubbleSize val="0"/>
        </c:dLbls>
        <c:axId val="455792944"/>
        <c:axId val="455796864"/>
      </c:scatterChart>
      <c:valAx>
        <c:axId val="455792944"/>
        <c:scaling>
          <c:orientation val="minMax"/>
          <c:max val="100"/>
          <c:min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r>
                  <a:rPr lang="en-US" sz="1000" b="0" i="0" u="none" strike="noStrike" baseline="0">
                    <a:effectLst/>
                  </a:rPr>
                  <a:t>(°F)</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6864"/>
        <c:crosses val="autoZero"/>
        <c:crossBetween val="midCat"/>
      </c:valAx>
      <c:valAx>
        <c:axId val="4557968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2944"/>
        <c:crosses val="autoZero"/>
        <c:crossBetween val="midCat"/>
      </c:valAx>
      <c:spPr>
        <a:noFill/>
        <a:ln>
          <a:noFill/>
        </a:ln>
        <a:effectLst/>
      </c:spPr>
    </c:plotArea>
    <c:legend>
      <c:legendPos val="r"/>
      <c:layout>
        <c:manualLayout>
          <c:xMode val="edge"/>
          <c:yMode val="edge"/>
          <c:x val="0.7268383414457863"/>
          <c:y val="0.24999496631174872"/>
          <c:w val="0.25896719439523574"/>
          <c:h val="0.2148321955637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55792552"/>
        <c:axId val="455790984"/>
      </c:scatterChart>
      <c:valAx>
        <c:axId val="455792552"/>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0984"/>
        <c:crosses val="autoZero"/>
        <c:crossBetween val="midCat"/>
      </c:valAx>
      <c:valAx>
        <c:axId val="4557909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2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Effective</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469413186243502"/>
                  <c:y val="-0.1262976528515516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Standards'!$G$78:$H$78</c:f>
              <c:numCache>
                <c:formatCode>General</c:formatCode>
                <c:ptCount val="2"/>
                <c:pt idx="0">
                  <c:v>5</c:v>
                </c:pt>
                <c:pt idx="1">
                  <c:v>0</c:v>
                </c:pt>
              </c:numCache>
              <c:extLst xmlns:c15="http://schemas.microsoft.com/office/drawing/2012/chart"/>
            </c:numRef>
          </c:xVal>
          <c:yVal>
            <c:numRef>
              <c:f>'Reference Standards'!$G$79:$H$79</c:f>
              <c:numCache>
                <c:formatCode>General</c:formatCode>
                <c:ptCount val="2"/>
                <c:pt idx="0">
                  <c:v>0.7</c:v>
                </c:pt>
                <c:pt idx="1">
                  <c:v>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og"/>
            <c:dispRSqr val="0"/>
            <c:dispEq val="1"/>
            <c:trendlineLbl>
              <c:layout>
                <c:manualLayout>
                  <c:x val="-4.4668325886462787E-2"/>
                  <c:y val="-0.43066858113754608"/>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Standards'!$C$78:$G$78</c:f>
              <c:numCache>
                <c:formatCode>General</c:formatCode>
                <c:ptCount val="5"/>
                <c:pt idx="0" formatCode="0">
                  <c:v>60</c:v>
                </c:pt>
                <c:pt idx="2" formatCode="0">
                  <c:v>20</c:v>
                </c:pt>
                <c:pt idx="4">
                  <c:v>5</c:v>
                </c:pt>
              </c:numCache>
            </c:numRef>
          </c:xVal>
          <c:yVal>
            <c:numRef>
              <c:f>'Reference Standards'!$C$79:$G$79</c:f>
              <c:numCache>
                <c:formatCode>General</c:formatCode>
                <c:ptCount val="5"/>
                <c:pt idx="0">
                  <c:v>0.01</c:v>
                </c:pt>
                <c:pt idx="1">
                  <c:v>0.28999999999999998</c:v>
                </c:pt>
                <c:pt idx="2">
                  <c:v>0.3</c:v>
                </c:pt>
                <c:pt idx="3">
                  <c:v>0.69</c:v>
                </c:pt>
                <c:pt idx="4">
                  <c:v>0.7</c:v>
                </c:pt>
              </c:numCache>
            </c:numRef>
          </c:yVal>
          <c:smooth val="0"/>
          <c:extLs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455794904"/>
        <c:axId val="455795296"/>
        <c:extLst/>
      </c:scatterChart>
      <c:valAx>
        <c:axId val="45579490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5296"/>
        <c:crosses val="autoZero"/>
        <c:crossBetween val="midCat"/>
      </c:valAx>
      <c:valAx>
        <c:axId val="4557952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4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Dissolved Oxygen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473288644289487E-2"/>
          <c:y val="0.10562117971002795"/>
          <c:w val="0.52025296857330283"/>
          <c:h val="0.76793153860987406"/>
        </c:manualLayout>
      </c:layout>
      <c:scatterChart>
        <c:scatterStyle val="lineMarker"/>
        <c:varyColors val="0"/>
        <c:ser>
          <c:idx val="0"/>
          <c:order val="0"/>
          <c:tx>
            <c:strRef>
              <c:f>'Reference Standards'!$AC$146</c:f>
              <c:strCache>
                <c:ptCount val="1"/>
                <c:pt idx="0">
                  <c:v>Coldwater &amp; Cold-Transitional</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5"/>
            <c:backward val="5"/>
            <c:dispRSqr val="0"/>
            <c:dispEq val="1"/>
            <c:trendlineLbl>
              <c:layout>
                <c:manualLayout>
                  <c:x val="-4.8023616975389535E-3"/>
                  <c:y val="9.087009556610925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Standards'!$AF$146:$AI$146</c:f>
              <c:numCache>
                <c:formatCode>General</c:formatCode>
                <c:ptCount val="4"/>
                <c:pt idx="0">
                  <c:v>6</c:v>
                </c:pt>
                <c:pt idx="2">
                  <c:v>7</c:v>
                </c:pt>
              </c:numCache>
            </c:numRef>
          </c:xVal>
          <c:yVal>
            <c:numRef>
              <c:f>'Reference Standards'!$AF$148:$AI$148</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0-306E-43E0-A7CF-22D8DE561819}"/>
            </c:ext>
          </c:extLst>
        </c:ser>
        <c:ser>
          <c:idx val="1"/>
          <c:order val="1"/>
          <c:tx>
            <c:strRef>
              <c:f>'Reference Standards'!$AC$147</c:f>
              <c:strCache>
                <c:ptCount val="1"/>
                <c:pt idx="0">
                  <c:v>Warm &amp; Warm-transitional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5"/>
            <c:backward val="5"/>
            <c:dispRSqr val="0"/>
            <c:dispEq val="1"/>
            <c:trendlineLbl>
              <c:layout>
                <c:manualLayout>
                  <c:x val="-0.18465620300249277"/>
                  <c:y val="0.162062586608187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Standards'!$AF$147:$AI$147</c:f>
              <c:numCache>
                <c:formatCode>General</c:formatCode>
                <c:ptCount val="4"/>
                <c:pt idx="0">
                  <c:v>4</c:v>
                </c:pt>
                <c:pt idx="2">
                  <c:v>5</c:v>
                </c:pt>
              </c:numCache>
            </c:numRef>
          </c:xVal>
          <c:yVal>
            <c:numRef>
              <c:f>'Reference Standards'!$AF$148:$AI$148</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1-7300-47B1-A05D-8504A53C6772}"/>
            </c:ext>
          </c:extLst>
        </c:ser>
        <c:dLbls>
          <c:showLegendKey val="0"/>
          <c:showVal val="0"/>
          <c:showCatName val="0"/>
          <c:showSerName val="0"/>
          <c:showPercent val="0"/>
          <c:showBubbleSize val="0"/>
        </c:dLbls>
        <c:axId val="455796472"/>
        <c:axId val="456612288"/>
      </c:scatterChart>
      <c:valAx>
        <c:axId val="4557964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(mg/L)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2288"/>
        <c:crosses val="autoZero"/>
        <c:crossBetween val="midCat"/>
      </c:valAx>
      <c:valAx>
        <c:axId val="4566122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64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Phosphorus</a:t>
            </a:r>
          </a:p>
        </c:rich>
      </c:tx>
      <c:layout>
        <c:manualLayout>
          <c:xMode val="edge"/>
          <c:yMode val="edge"/>
          <c:x val="0.31475688337736407"/>
          <c:y val="2.71752895302539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Standards'!$AC$80</c:f>
              <c:strCache>
                <c:ptCount val="1"/>
                <c:pt idx="0">
                  <c:v>Northern Lakes and Forests &amp; North Central Hardwood Forests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7826893968158301"/>
                  <c:y val="-0.1949572928272093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Standards'!$AH$80:$AI$80</c:f>
              <c:numCache>
                <c:formatCode>General</c:formatCode>
                <c:ptCount val="2"/>
                <c:pt idx="0">
                  <c:v>12</c:v>
                </c:pt>
                <c:pt idx="1">
                  <c:v>3.9</c:v>
                </c:pt>
              </c:numCache>
            </c:numRef>
          </c:xVal>
          <c:yVal>
            <c:numRef>
              <c:f>'Reference Standards'!$AH$82:$AI$82</c:f>
              <c:numCache>
                <c:formatCode>General</c:formatCode>
                <c:ptCount val="2"/>
                <c:pt idx="0">
                  <c:v>0.7</c:v>
                </c:pt>
                <c:pt idx="1">
                  <c:v>1</c:v>
                </c:pt>
              </c:numCache>
            </c:numRef>
          </c:yVal>
          <c:smooth val="0"/>
          <c:extLst>
            <c:ext xmlns:c16="http://schemas.microsoft.com/office/drawing/2014/chart" uri="{C3380CC4-5D6E-409C-BE32-E72D297353CC}">
              <c16:uniqueId val="{00000000-5444-4189-9526-06CAD9585BFE}"/>
            </c:ext>
          </c:extLst>
        </c:ser>
        <c:ser>
          <c:idx val="1"/>
          <c:order val="1"/>
          <c:tx>
            <c:strRef>
              <c:f>'Reference Standards'!$AC$81</c:f>
              <c:strCache>
                <c:ptCount val="1"/>
                <c:pt idx="0">
                  <c:v>Southern Michigan/ Northern Indiana Drift Plains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6914015308108802"/>
                  <c:y val="-0.1333805250624382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Standards'!$AH$81:$AI$81</c:f>
              <c:numCache>
                <c:formatCode>General</c:formatCode>
                <c:ptCount val="2"/>
                <c:pt idx="0">
                  <c:v>30</c:v>
                </c:pt>
                <c:pt idx="1">
                  <c:v>12.5</c:v>
                </c:pt>
              </c:numCache>
            </c:numRef>
          </c:xVal>
          <c:yVal>
            <c:numRef>
              <c:f>'Reference Standards'!$AH$82:$AI$82</c:f>
              <c:numCache>
                <c:formatCode>General</c:formatCode>
                <c:ptCount val="2"/>
                <c:pt idx="0">
                  <c:v>0.7</c:v>
                </c:pt>
                <c:pt idx="1">
                  <c:v>1</c:v>
                </c:pt>
              </c:numCache>
            </c:numRef>
          </c:yVal>
          <c:smooth val="0"/>
          <c:extLst>
            <c:ext xmlns:c16="http://schemas.microsoft.com/office/drawing/2014/chart" uri="{C3380CC4-5D6E-409C-BE32-E72D297353CC}">
              <c16:uniqueId val="{00000001-84EF-4B22-B6D1-9FB3774ED84D}"/>
            </c:ext>
          </c:extLst>
        </c:ser>
        <c:ser>
          <c:idx val="3"/>
          <c:order val="2"/>
          <c:tx>
            <c:strRef>
              <c:f>'Reference Standards'!$AC$81</c:f>
              <c:strCache>
                <c:ptCount val="1"/>
                <c:pt idx="0">
                  <c:v>Southern Michigan/ Northern Indiana Drift Plains</c:v>
                </c:pt>
              </c:strCache>
            </c:strRef>
          </c:tx>
          <c:spPr>
            <a:ln w="25400" cap="rnd">
              <a:noFill/>
              <a:round/>
            </a:ln>
            <a:effectLst/>
          </c:spPr>
          <c:marker>
            <c:symbol val="circle"/>
            <c:size val="5"/>
            <c:spPr>
              <a:solidFill>
                <a:schemeClr val="accent6">
                  <a:lumMod val="75000"/>
                </a:schemeClr>
              </a:solidFill>
              <a:ln w="9525">
                <a:solidFill>
                  <a:schemeClr val="accent6">
                    <a:lumMod val="75000"/>
                  </a:schemeClr>
                </a:solidFill>
              </a:ln>
              <a:effectLst/>
            </c:spPr>
          </c:marker>
          <c:trendline>
            <c:spPr>
              <a:ln w="19050" cap="rnd">
                <a:solidFill>
                  <a:schemeClr val="accent4"/>
                </a:solidFill>
                <a:prstDash val="sysDot"/>
              </a:ln>
              <a:effectLst/>
            </c:spPr>
            <c:trendlineType val="linear"/>
            <c:dispRSqr val="0"/>
            <c:dispEq val="1"/>
            <c:trendlineLbl>
              <c:layout>
                <c:manualLayout>
                  <c:x val="0.1957382931498822"/>
                  <c:y val="-0.2072336450407543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Standards'!$AF$81:$AH$81</c:f>
              <c:numCache>
                <c:formatCode>General</c:formatCode>
                <c:ptCount val="3"/>
                <c:pt idx="0">
                  <c:v>90</c:v>
                </c:pt>
                <c:pt idx="2">
                  <c:v>30</c:v>
                </c:pt>
              </c:numCache>
            </c:numRef>
          </c:xVal>
          <c:yVal>
            <c:numRef>
              <c:f>'Reference Standards'!$AF$82:$AH$82</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3-6FD7-4A63-9242-0EDF83EC50B9}"/>
            </c:ext>
          </c:extLst>
        </c:ser>
        <c:ser>
          <c:idx val="4"/>
          <c:order val="3"/>
          <c:tx>
            <c:strRef>
              <c:f>'Reference Standards'!$AC$80</c:f>
              <c:strCache>
                <c:ptCount val="1"/>
                <c:pt idx="0">
                  <c:v>Northern Lakes and Forests &amp; North Central Hardwood Forests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28137379640295568"/>
                  <c:y val="-0.2809979477648060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Standards'!$AF$80:$AH$80</c:f>
              <c:numCache>
                <c:formatCode>General</c:formatCode>
                <c:ptCount val="3"/>
                <c:pt idx="0">
                  <c:v>50</c:v>
                </c:pt>
                <c:pt idx="2">
                  <c:v>12</c:v>
                </c:pt>
              </c:numCache>
            </c:numRef>
          </c:xVal>
          <c:yVal>
            <c:numRef>
              <c:f>'Reference Standards'!$AF$82:$AH$82</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4-6FD7-4A63-9242-0EDF83EC50B9}"/>
            </c:ext>
          </c:extLst>
        </c:ser>
        <c:ser>
          <c:idx val="6"/>
          <c:order val="4"/>
          <c:tx>
            <c:strRef>
              <c:f>'Reference Standards'!$AC$80</c:f>
              <c:strCache>
                <c:ptCount val="1"/>
                <c:pt idx="0">
                  <c:v>Northern Lakes and Forests &amp; North Central Hardwood Forests</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35011739962833477"/>
                  <c:y val="-0.180514656056997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Standards'!$AD$80:$AF$80</c:f>
              <c:numCache>
                <c:formatCode>General</c:formatCode>
                <c:ptCount val="3"/>
                <c:pt idx="0">
                  <c:v>151</c:v>
                </c:pt>
                <c:pt idx="2">
                  <c:v>50</c:v>
                </c:pt>
              </c:numCache>
            </c:numRef>
          </c:xVal>
          <c:yVal>
            <c:numRef>
              <c:f>'Reference Standards'!$AD$82:$AF$82</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6-D19F-44EC-95C5-DAAA0F518A05}"/>
            </c:ext>
          </c:extLst>
        </c:ser>
        <c:ser>
          <c:idx val="7"/>
          <c:order val="5"/>
          <c:tx>
            <c:strRef>
              <c:f>'Reference Standards'!$AC$81</c:f>
              <c:strCache>
                <c:ptCount val="1"/>
                <c:pt idx="0">
                  <c:v>Southern Michigan/ Northern Indiana Drift Plains</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4">
                    <a:lumMod val="60000"/>
                    <a:lumOff val="40000"/>
                  </a:schemeClr>
                </a:solidFill>
                <a:prstDash val="sysDot"/>
              </a:ln>
              <a:effectLst/>
            </c:spPr>
            <c:trendlineType val="linear"/>
            <c:dispRSqr val="0"/>
            <c:dispEq val="1"/>
            <c:trendlineLbl>
              <c:layout>
                <c:manualLayout>
                  <c:x val="0.25764036781203226"/>
                  <c:y val="-0.119044403786954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Standards'!$AD$81:$AF$81</c:f>
              <c:numCache>
                <c:formatCode>General</c:formatCode>
                <c:ptCount val="3"/>
                <c:pt idx="0">
                  <c:v>186</c:v>
                </c:pt>
                <c:pt idx="2">
                  <c:v>90</c:v>
                </c:pt>
              </c:numCache>
            </c:numRef>
          </c:xVal>
          <c:yVal>
            <c:numRef>
              <c:f>'Reference Standards'!$AD$82:$AF$82</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7-D19F-44EC-95C5-DAAA0F518A05}"/>
            </c:ext>
          </c:extLst>
        </c:ser>
        <c:dLbls>
          <c:showLegendKey val="0"/>
          <c:showVal val="0"/>
          <c:showCatName val="0"/>
          <c:showSerName val="0"/>
          <c:showPercent val="0"/>
          <c:showBubbleSize val="0"/>
        </c:dLbls>
        <c:axId val="456611896"/>
        <c:axId val="456615816"/>
      </c:scatterChart>
      <c:valAx>
        <c:axId val="456611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(mcg/L)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5816"/>
        <c:crosses val="autoZero"/>
        <c:crossBetween val="midCat"/>
      </c:valAx>
      <c:valAx>
        <c:axId val="4566158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1896"/>
        <c:crosses val="autoZero"/>
        <c:crossBetween val="midCat"/>
      </c:valAx>
      <c:spPr>
        <a:noFill/>
        <a:ln>
          <a:noFill/>
        </a:ln>
        <a:effectLst/>
      </c:spPr>
    </c:plotArea>
    <c:legend>
      <c:legendPos val="r"/>
      <c:layout>
        <c:manualLayout>
          <c:xMode val="edge"/>
          <c:yMode val="edge"/>
          <c:x val="0.63567339583637705"/>
          <c:y val="0.13520481412612742"/>
          <c:w val="0.33945004796326694"/>
          <c:h val="0.14061973630713831"/>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 Coli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5526805505180602"/>
                  <c:y val="-0.40732794408126438"/>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Standards'!$AF$44:$AI$44</c:f>
              <c:numCache>
                <c:formatCode>General</c:formatCode>
                <c:ptCount val="4"/>
                <c:pt idx="0">
                  <c:v>1000</c:v>
                </c:pt>
                <c:pt idx="2" formatCode="0">
                  <c:v>300</c:v>
                </c:pt>
                <c:pt idx="3">
                  <c:v>10</c:v>
                </c:pt>
              </c:numCache>
            </c:numRef>
          </c:xVal>
          <c:yVal>
            <c:numRef>
              <c:f>'Reference Standards'!$AF$45:$AI$45</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0-6B9A-49E1-B4FD-F489DFFCE93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164547460861595E-2"/>
                  <c:y val="-0.14064129501908817"/>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Standards'!$AD$44:$AF$44</c:f>
              <c:numCache>
                <c:formatCode>General</c:formatCode>
                <c:ptCount val="3"/>
                <c:pt idx="0" formatCode="0">
                  <c:v>4500</c:v>
                </c:pt>
                <c:pt idx="2">
                  <c:v>1000</c:v>
                </c:pt>
              </c:numCache>
              <c:extLst xmlns:c15="http://schemas.microsoft.com/office/drawing/2012/chart"/>
            </c:numRef>
          </c:xVal>
          <c:yVal>
            <c:numRef>
              <c:f>'Reference Standards'!$AD$45:$AF$45</c:f>
              <c:numCache>
                <c:formatCode>General</c:formatCode>
                <c:ptCount val="3"/>
                <c:pt idx="0">
                  <c:v>0</c:v>
                </c:pt>
                <c:pt idx="1">
                  <c:v>0.28999999999999998</c:v>
                </c:pt>
                <c:pt idx="2">
                  <c:v>0.3</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679B-40A6-9A4C-8D16B9E13C8B}"/>
            </c:ext>
          </c:extLst>
        </c:ser>
        <c:dLbls>
          <c:showLegendKey val="0"/>
          <c:showVal val="0"/>
          <c:showCatName val="0"/>
          <c:showSerName val="0"/>
          <c:showPercent val="0"/>
          <c:showBubbleSize val="0"/>
        </c:dLbls>
        <c:axId val="456615424"/>
        <c:axId val="456612680"/>
        <c:extLst/>
      </c:scatterChart>
      <c:valAx>
        <c:axId val="4566154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(E. Coli/100mL)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2680"/>
        <c:crosses val="autoZero"/>
        <c:crossBetween val="midCat"/>
      </c:valAx>
      <c:valAx>
        <c:axId val="4566126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54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1.979062253486041E-2"/>
                  <c:y val="-0.3779837766295380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Standards'!$U$43:$Y$43</c:f>
              <c:numCache>
                <c:formatCode>General</c:formatCode>
                <c:ptCount val="5"/>
                <c:pt idx="0">
                  <c:v>75</c:v>
                </c:pt>
                <c:pt idx="4">
                  <c:v>10</c:v>
                </c:pt>
              </c:numCache>
            </c:numRef>
          </c:xVal>
          <c:yVal>
            <c:numRef>
              <c:f>'Reference Standards'!$U$44:$Y$44</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5148-4788-A083-43E68337C776}"/>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787188391527928"/>
                  <c:y val="-0.1564638677531685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Standards'!$Y$43:$Z$43</c:f>
              <c:numCache>
                <c:formatCode>General</c:formatCode>
                <c:ptCount val="2"/>
                <c:pt idx="0">
                  <c:v>10</c:v>
                </c:pt>
                <c:pt idx="1">
                  <c:v>5</c:v>
                </c:pt>
              </c:numCache>
            </c:numRef>
          </c:xVal>
          <c:yVal>
            <c:numRef>
              <c:f>'Reference Standards'!$Y$44:$Z$44</c:f>
              <c:numCache>
                <c:formatCode>General</c:formatCode>
                <c:ptCount val="2"/>
                <c:pt idx="0">
                  <c:v>0.7</c:v>
                </c:pt>
                <c:pt idx="1">
                  <c:v>1</c:v>
                </c:pt>
              </c:numCache>
            </c:numRef>
          </c:yVal>
          <c:smooth val="0"/>
          <c:extLst>
            <c:ext xmlns:c16="http://schemas.microsoft.com/office/drawing/2014/chart" uri="{C3380CC4-5D6E-409C-BE32-E72D297353CC}">
              <c16:uniqueId val="{00000001-59BD-4BF7-8F50-3163785824F3}"/>
            </c:ext>
          </c:extLst>
        </c:ser>
        <c:dLbls>
          <c:showLegendKey val="0"/>
          <c:showVal val="0"/>
          <c:showCatName val="0"/>
          <c:showSerName val="0"/>
          <c:showPercent val="0"/>
          <c:showBubbleSize val="0"/>
        </c:dLbls>
        <c:axId val="456613072"/>
        <c:axId val="456616992"/>
      </c:scatterChart>
      <c:valAx>
        <c:axId val="4566130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6992"/>
        <c:crosses val="autoZero"/>
        <c:crossBetween val="midCat"/>
      </c:valAx>
      <c:valAx>
        <c:axId val="4566169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3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Native Shrub Density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Forested</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2963784078918917"/>
                  <c:y val="0.13788468807531551"/>
                </c:manualLayout>
              </c:layout>
              <c:numFmt formatCode="0.00000E+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Standards'!$U$213:$Z$213</c:f>
              <c:numCache>
                <c:formatCode>General</c:formatCode>
                <c:ptCount val="6"/>
                <c:pt idx="0">
                  <c:v>0</c:v>
                </c:pt>
                <c:pt idx="5">
                  <c:v>100</c:v>
                </c:pt>
              </c:numCache>
            </c:numRef>
          </c:xVal>
          <c:yVal>
            <c:numRef>
              <c:f>'Reference Standards'!$U$215:$Z$215</c:f>
              <c:numCache>
                <c:formatCode>General</c:formatCode>
                <c:ptCount val="6"/>
                <c:pt idx="0">
                  <c:v>0</c:v>
                </c:pt>
                <c:pt idx="1">
                  <c:v>0.2</c:v>
                </c:pt>
                <c:pt idx="2">
                  <c:v>0.3</c:v>
                </c:pt>
                <c:pt idx="3">
                  <c:v>0.6</c:v>
                </c:pt>
                <c:pt idx="4">
                  <c:v>0.7</c:v>
                </c:pt>
                <c:pt idx="5">
                  <c:v>1</c:v>
                </c:pt>
              </c:numCache>
            </c:numRef>
          </c:yVal>
          <c:smooth val="0"/>
          <c:extLst>
            <c:ext xmlns:c16="http://schemas.microsoft.com/office/drawing/2014/chart" uri="{C3380CC4-5D6E-409C-BE32-E72D297353CC}">
              <c16:uniqueId val="{00000000-4DFD-4BB9-9B0D-3CE048A84054}"/>
            </c:ext>
          </c:extLst>
        </c:ser>
        <c:ser>
          <c:idx val="1"/>
          <c:order val="1"/>
          <c:tx>
            <c:v>Scrub-shrub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3.9124925422489736E-2"/>
                  <c:y val="0.1609086393298035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Standards'!$U$214:$Z$214</c:f>
              <c:numCache>
                <c:formatCode>General</c:formatCode>
                <c:ptCount val="6"/>
                <c:pt idx="0">
                  <c:v>0</c:v>
                </c:pt>
                <c:pt idx="5">
                  <c:v>470</c:v>
                </c:pt>
              </c:numCache>
            </c:numRef>
          </c:xVal>
          <c:yVal>
            <c:numRef>
              <c:f>'Reference Standards'!$U$215:$Z$215</c:f>
              <c:numCache>
                <c:formatCode>General</c:formatCode>
                <c:ptCount val="6"/>
                <c:pt idx="0">
                  <c:v>0</c:v>
                </c:pt>
                <c:pt idx="1">
                  <c:v>0.2</c:v>
                </c:pt>
                <c:pt idx="2">
                  <c:v>0.3</c:v>
                </c:pt>
                <c:pt idx="3">
                  <c:v>0.6</c:v>
                </c:pt>
                <c:pt idx="4">
                  <c:v>0.7</c:v>
                </c:pt>
                <c:pt idx="5">
                  <c:v>1</c:v>
                </c:pt>
              </c:numCache>
            </c:numRef>
          </c:yVal>
          <c:smooth val="0"/>
          <c:extLst>
            <c:ext xmlns:c16="http://schemas.microsoft.com/office/drawing/2014/chart" uri="{C3380CC4-5D6E-409C-BE32-E72D297353CC}">
              <c16:uniqueId val="{00000001-69CD-4DAE-B8CA-C1D73B4E6DF8}"/>
            </c:ext>
          </c:extLst>
        </c:ser>
        <c:dLbls>
          <c:showLegendKey val="0"/>
          <c:showVal val="0"/>
          <c:showCatName val="0"/>
          <c:showSerName val="0"/>
          <c:showPercent val="0"/>
          <c:showBubbleSize val="0"/>
        </c:dLbls>
        <c:axId val="456614248"/>
        <c:axId val="456614640"/>
      </c:scatterChart>
      <c:valAx>
        <c:axId val="456614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Field Value (#/Acre)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4640"/>
        <c:crosses val="autoZero"/>
        <c:crossBetween val="midCat"/>
      </c:valAx>
      <c:valAx>
        <c:axId val="4566146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42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Summary'!$B$6</c:f>
              <c:strCache>
                <c:ptCount val="1"/>
                <c:pt idx="0">
                  <c:v>Floodplain Connectivity</c:v>
                </c:pt>
              </c:strCache>
            </c:strRef>
          </c:tx>
          <c:spPr>
            <a:ln w="19050" cap="rnd">
              <a:solidFill>
                <a:schemeClr val="accent5"/>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Summary'!$F$6:$O$6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92C8-4EBD-977B-3E233368AC59}"/>
            </c:ext>
          </c:extLst>
        </c:ser>
        <c:ser>
          <c:idx val="5"/>
          <c:order val="1"/>
          <c:tx>
            <c:strRef>
              <c:f>'Data Summary'!$B$8</c:f>
              <c:strCache>
                <c:ptCount val="1"/>
                <c:pt idx="0">
                  <c:v>Lateral Migration</c:v>
                </c:pt>
              </c:strCache>
            </c:strRef>
          </c:tx>
          <c:spPr>
            <a:ln w="19050" cap="rnd">
              <a:solidFill>
                <a:srgbClr val="FF0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Summary'!$F$8:$O$8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92C8-4EBD-977B-3E233368AC59}"/>
            </c:ext>
          </c:extLst>
        </c:ser>
        <c:ser>
          <c:idx val="6"/>
          <c:order val="2"/>
          <c:tx>
            <c:strRef>
              <c:f>'Data Summary'!$B$9</c:f>
              <c:strCache>
                <c:ptCount val="1"/>
                <c:pt idx="0">
                  <c:v>Riparian Vegetation</c:v>
                </c:pt>
              </c:strCache>
            </c:strRef>
          </c:tx>
          <c:spPr>
            <a:ln w="19050" cap="rnd">
              <a:solidFill>
                <a:srgbClr val="92D05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Summary'!$F$9:$O$9</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6-92C8-4EBD-977B-3E233368AC59}"/>
            </c:ext>
          </c:extLst>
        </c:ser>
        <c:ser>
          <c:idx val="7"/>
          <c:order val="3"/>
          <c:tx>
            <c:strRef>
              <c:f>'Data Summary'!$B$10</c:f>
              <c:strCache>
                <c:ptCount val="1"/>
                <c:pt idx="0">
                  <c:v>Bed Form Diversity</c:v>
                </c:pt>
              </c:strCache>
            </c:strRef>
          </c:tx>
          <c:spPr>
            <a:ln w="19050" cap="rnd">
              <a:solidFill>
                <a:srgbClr val="FFC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Summary'!$F$10:$O$10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Summary'!$F$27:$O$27</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450381424"/>
        <c:axId val="518602248"/>
      </c:scatterChart>
      <c:valAx>
        <c:axId val="45038142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8602248"/>
        <c:crosses val="autoZero"/>
        <c:crossBetween val="midCat"/>
      </c:valAx>
      <c:valAx>
        <c:axId val="51860224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503814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Fish - P51 Wadeable &amp; Warm or Warm-transition Water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852113622315981"/>
                  <c:y val="0.35548076923076921"/>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Standards'!$AM$76:$AR$76</c:f>
              <c:numCache>
                <c:formatCode>0.0000</c:formatCode>
                <c:ptCount val="6"/>
                <c:pt idx="0" formatCode="General">
                  <c:v>-10</c:v>
                </c:pt>
                <c:pt idx="2" formatCode="General">
                  <c:v>-4</c:v>
                </c:pt>
                <c:pt idx="3" formatCode="General">
                  <c:v>4</c:v>
                </c:pt>
                <c:pt idx="5" formatCode="General">
                  <c:v>10</c:v>
                </c:pt>
              </c:numCache>
            </c:numRef>
          </c:xVal>
          <c:yVal>
            <c:numRef>
              <c:f>'Reference Standards'!$AM$77:$AR$77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3220-4B15-9F7A-7763D44DA4C2}"/>
            </c:ext>
          </c:extLst>
        </c:ser>
        <c:dLbls>
          <c:showLegendKey val="0"/>
          <c:showVal val="0"/>
          <c:showCatName val="0"/>
          <c:showSerName val="0"/>
          <c:showPercent val="0"/>
          <c:showBubbleSize val="0"/>
        </c:dLbls>
        <c:axId val="516022400"/>
        <c:axId val="516024360"/>
      </c:scatterChart>
      <c:valAx>
        <c:axId val="516022400"/>
        <c:scaling>
          <c:orientation val="minMax"/>
          <c:max val="1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4360"/>
        <c:crosses val="autoZero"/>
        <c:crossBetween val="midCat"/>
      </c:valAx>
      <c:valAx>
        <c:axId val="5160243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2400"/>
        <c:crossesAt val="-1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Land Use Change Coefficient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forward val="12"/>
            <c:dispRSqr val="0"/>
            <c:dispEq val="1"/>
            <c:trendlineLbl>
              <c:layout>
                <c:manualLayout>
                  <c:x val="-0.25056900541949617"/>
                  <c:y val="-0.3954917155954427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Standards'!$C$9:$G$9</c:f>
              <c:numCache>
                <c:formatCode>General</c:formatCode>
                <c:ptCount val="5"/>
                <c:pt idx="2">
                  <c:v>70</c:v>
                </c:pt>
                <c:pt idx="4">
                  <c:v>55</c:v>
                </c:pt>
              </c:numCache>
            </c:numRef>
          </c:xVal>
          <c:yVal>
            <c:numRef>
              <c:f>'Reference Standards'!$C$10:$G$10</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7AC5-45EF-9405-04BE8E1983D1}"/>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6940165564304566"/>
                  <c:y val="-0.116942057597737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Standards'!$G$9:$H$9</c:f>
              <c:numCache>
                <c:formatCode>0</c:formatCode>
                <c:ptCount val="2"/>
                <c:pt idx="0" formatCode="General">
                  <c:v>55</c:v>
                </c:pt>
                <c:pt idx="1">
                  <c:v>30</c:v>
                </c:pt>
              </c:numCache>
            </c:numRef>
          </c:xVal>
          <c:yVal>
            <c:numRef>
              <c:f>'Reference Standards'!$G$10:$H$10</c:f>
              <c:numCache>
                <c:formatCode>General</c:formatCode>
                <c:ptCount val="2"/>
                <c:pt idx="0">
                  <c:v>0.7</c:v>
                </c:pt>
                <c:pt idx="1">
                  <c:v>1</c:v>
                </c:pt>
              </c:numCache>
            </c:numRef>
          </c:yVal>
          <c:smooth val="0"/>
          <c:extLst>
            <c:ext xmlns:c16="http://schemas.microsoft.com/office/drawing/2014/chart" uri="{C3380CC4-5D6E-409C-BE32-E72D297353CC}">
              <c16:uniqueId val="{00000002-89D9-495A-9757-F2BA4DDD31EA}"/>
            </c:ext>
          </c:extLst>
        </c:ser>
        <c:dLbls>
          <c:showLegendKey val="0"/>
          <c:showVal val="0"/>
          <c:showCatName val="0"/>
          <c:showSerName val="0"/>
          <c:showPercent val="0"/>
          <c:showBubbleSize val="0"/>
        </c:dLbls>
        <c:axId val="516029064"/>
        <c:axId val="516027888"/>
      </c:scatterChart>
      <c:valAx>
        <c:axId val="516029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7888"/>
        <c:crosses val="autoZero"/>
        <c:crossBetween val="midCat"/>
      </c:valAx>
      <c:valAx>
        <c:axId val="5160278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9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Aggradation Ratio</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2.22731154867619E-3"/>
                  <c:y val="-0.531056110214892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Standards'!$U$485:$Z$485</c:f>
              <c:numCache>
                <c:formatCode>General</c:formatCode>
                <c:ptCount val="6"/>
                <c:pt idx="0">
                  <c:v>1.6</c:v>
                </c:pt>
                <c:pt idx="2">
                  <c:v>1.4</c:v>
                </c:pt>
                <c:pt idx="3">
                  <c:v>1.2</c:v>
                </c:pt>
                <c:pt idx="5">
                  <c:v>1</c:v>
                </c:pt>
              </c:numCache>
            </c:numRef>
          </c:xVal>
          <c:yVal>
            <c:numRef>
              <c:f>'Reference Standards'!$U$486:$Z$486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1B6F-47C1-AA6D-97585A1F7338}"/>
            </c:ext>
          </c:extLst>
        </c:ser>
        <c:dLbls>
          <c:showLegendKey val="0"/>
          <c:showVal val="0"/>
          <c:showCatName val="0"/>
          <c:showSerName val="0"/>
          <c:showPercent val="0"/>
          <c:showBubbleSize val="0"/>
        </c:dLbls>
        <c:axId val="516027104"/>
        <c:axId val="516029456"/>
      </c:scatterChart>
      <c:valAx>
        <c:axId val="516027104"/>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9456"/>
        <c:crosses val="autoZero"/>
        <c:crossBetween val="midCat"/>
      </c:valAx>
      <c:valAx>
        <c:axId val="51602945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71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Phosphorus</a:t>
            </a:r>
          </a:p>
        </c:rich>
      </c:tx>
      <c:layout>
        <c:manualLayout>
          <c:xMode val="edge"/>
          <c:yMode val="edge"/>
          <c:x val="0.31475688337736407"/>
          <c:y val="2.71752895302539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Standards'!$AC$113</c:f>
              <c:strCache>
                <c:ptCount val="1"/>
                <c:pt idx="0">
                  <c:v>Huron Erie Lake Plains &amp; Eastern Corn Belt Plains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3195537458523532"/>
                  <c:y val="-0.1949572461864631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Standards'!$AH$113:$AI$113</c:f>
              <c:numCache>
                <c:formatCode>General</c:formatCode>
                <c:ptCount val="2"/>
                <c:pt idx="0">
                  <c:v>70</c:v>
                </c:pt>
                <c:pt idx="1">
                  <c:v>29</c:v>
                </c:pt>
              </c:numCache>
            </c:numRef>
          </c:xVal>
          <c:yVal>
            <c:numRef>
              <c:f>'Reference Standards'!$AH$114:$AI$114</c:f>
              <c:numCache>
                <c:formatCode>General</c:formatCode>
                <c:ptCount val="2"/>
                <c:pt idx="0">
                  <c:v>0.7</c:v>
                </c:pt>
                <c:pt idx="1">
                  <c:v>1</c:v>
                </c:pt>
              </c:numCache>
            </c:numRef>
          </c:yVal>
          <c:smooth val="0"/>
          <c:extLst>
            <c:ext xmlns:c16="http://schemas.microsoft.com/office/drawing/2014/chart" uri="{C3380CC4-5D6E-409C-BE32-E72D297353CC}">
              <c16:uniqueId val="{00000001-BDFB-4452-B87C-8F6677816175}"/>
            </c:ext>
          </c:extLst>
        </c:ser>
        <c:ser>
          <c:idx val="4"/>
          <c:order val="1"/>
          <c:tx>
            <c:strRef>
              <c:f>'Reference Standards'!$AC$113</c:f>
              <c:strCache>
                <c:ptCount val="1"/>
                <c:pt idx="0">
                  <c:v>Huron Erie Lake Plains &amp; Eastern Corn Belt Plains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7032779542212279"/>
                  <c:y val="-0.2741215384387190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Standards'!$AF$113:$AH$113</c:f>
              <c:numCache>
                <c:formatCode>General</c:formatCode>
                <c:ptCount val="3"/>
                <c:pt idx="0">
                  <c:v>160</c:v>
                </c:pt>
                <c:pt idx="2">
                  <c:v>70</c:v>
                </c:pt>
              </c:numCache>
            </c:numRef>
          </c:xVal>
          <c:yVal>
            <c:numRef>
              <c:f>'Reference Standards'!$AF$114:$AH$114</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9-BDFB-4452-B87C-8F6677816175}"/>
            </c:ext>
          </c:extLst>
        </c:ser>
        <c:ser>
          <c:idx val="6"/>
          <c:order val="2"/>
          <c:tx>
            <c:strRef>
              <c:f>'Reference Standards'!$AC$113</c:f>
              <c:strCache>
                <c:ptCount val="1"/>
                <c:pt idx="0">
                  <c:v>Huron Erie Lake Plains &amp; Eastern Corn Belt Plains</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2.0963868886171161E-2"/>
                  <c:y val="-0.16801404217916938"/>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Standards'!$AD$113:$AF$113</c:f>
              <c:numCache>
                <c:formatCode>General</c:formatCode>
                <c:ptCount val="3"/>
                <c:pt idx="0">
                  <c:v>550</c:v>
                </c:pt>
                <c:pt idx="2">
                  <c:v>160</c:v>
                </c:pt>
              </c:numCache>
            </c:numRef>
          </c:xVal>
          <c:yVal>
            <c:numRef>
              <c:f>'Reference Standards'!$AD$114:$AF$114</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D-BDFB-4452-B87C-8F6677816175}"/>
            </c:ext>
          </c:extLst>
        </c:ser>
        <c:dLbls>
          <c:showLegendKey val="0"/>
          <c:showVal val="0"/>
          <c:showCatName val="0"/>
          <c:showSerName val="0"/>
          <c:showPercent val="0"/>
          <c:showBubbleSize val="0"/>
        </c:dLbls>
        <c:axId val="456611896"/>
        <c:axId val="456615816"/>
      </c:scatterChart>
      <c:valAx>
        <c:axId val="456611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(mcg/L)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5816"/>
        <c:crosses val="autoZero"/>
        <c:crossBetween val="midCat"/>
      </c:valAx>
      <c:valAx>
        <c:axId val="4566158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6118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forward val="2.5"/>
            <c:dispRSqr val="0"/>
            <c:dispEq val="1"/>
            <c:trendlineLbl>
              <c:layout>
                <c:manualLayout>
                  <c:x val="-0.20029441517268246"/>
                  <c:y val="-0.5290564862123626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Standards'!$C$43:$H$43</c:f>
              <c:numCache>
                <c:formatCode>General</c:formatCode>
                <c:ptCount val="6"/>
                <c:pt idx="4">
                  <c:v>1</c:v>
                </c:pt>
                <c:pt idx="5" formatCode="0">
                  <c:v>0</c:v>
                </c:pt>
              </c:numCache>
            </c:numRef>
          </c:xVal>
          <c:yVal>
            <c:numRef>
              <c:f>'Reference Standards'!$C$44:$H$44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75E6-40DC-BB79-BBD85CE3DB0F}"/>
            </c:ext>
          </c:extLst>
        </c:ser>
        <c:dLbls>
          <c:showLegendKey val="0"/>
          <c:showVal val="0"/>
          <c:showCatName val="0"/>
          <c:showSerName val="0"/>
          <c:showPercent val="0"/>
          <c:showBubbleSize val="0"/>
        </c:dLbls>
        <c:axId val="516029064"/>
        <c:axId val="516027888"/>
      </c:scatterChart>
      <c:valAx>
        <c:axId val="516029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(#/1000</a:t>
                </a:r>
                <a:r>
                  <a:rPr lang="en-US" baseline="0"/>
                  <a:t> LF</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7888"/>
        <c:crosses val="autoZero"/>
        <c:crossBetween val="midCat"/>
      </c:valAx>
      <c:valAx>
        <c:axId val="5160278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9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DBH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7096678421177223"/>
                  <c:y val="0.13746983562997114"/>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Standards'!$U$145:$Z$145</c:f>
              <c:numCache>
                <c:formatCode>General</c:formatCode>
                <c:ptCount val="6"/>
                <c:pt idx="0">
                  <c:v>0</c:v>
                </c:pt>
                <c:pt idx="5">
                  <c:v>12</c:v>
                </c:pt>
              </c:numCache>
            </c:numRef>
          </c:xVal>
          <c:yVal>
            <c:numRef>
              <c:f>'Reference Standards'!$U$146:$Z$146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173-4A69-BE18-48DE0FD279CC}"/>
            </c:ext>
          </c:extLst>
        </c:ser>
        <c:dLbls>
          <c:showLegendKey val="0"/>
          <c:showVal val="0"/>
          <c:showCatName val="0"/>
          <c:showSerName val="0"/>
          <c:showPercent val="0"/>
          <c:showBubbleSize val="0"/>
        </c:dLbls>
        <c:axId val="455797256"/>
        <c:axId val="455792160"/>
      </c:scatterChart>
      <c:valAx>
        <c:axId val="4557972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(inches)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2160"/>
        <c:crosses val="autoZero"/>
        <c:crossBetween val="midCat"/>
      </c:valAx>
      <c:valAx>
        <c:axId val="4557921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72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Tree Density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2862042574511948"/>
                  <c:y val="0.22430549743064995"/>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Standards'!$U$178:$Z$178</c:f>
              <c:numCache>
                <c:formatCode>General</c:formatCode>
                <c:ptCount val="6"/>
                <c:pt idx="0">
                  <c:v>0</c:v>
                </c:pt>
                <c:pt idx="5">
                  <c:v>95</c:v>
                </c:pt>
              </c:numCache>
            </c:numRef>
          </c:xVal>
          <c:yVal>
            <c:numRef>
              <c:f>'Reference Standards'!$U$180:$Z$180</c:f>
              <c:numCache>
                <c:formatCode>General</c:formatCode>
                <c:ptCount val="6"/>
                <c:pt idx="0">
                  <c:v>0</c:v>
                </c:pt>
                <c:pt idx="1">
                  <c:v>0.28999999999999998</c:v>
                </c:pt>
                <c:pt idx="2">
                  <c:v>0.5</c:v>
                </c:pt>
                <c:pt idx="3">
                  <c:v>0.69</c:v>
                </c:pt>
                <c:pt idx="4">
                  <c:v>0.7</c:v>
                </c:pt>
                <c:pt idx="5">
                  <c:v>1</c:v>
                </c:pt>
              </c:numCache>
            </c:numRef>
          </c:yVal>
          <c:smooth val="0"/>
          <c:extLst>
            <c:ext xmlns:c16="http://schemas.microsoft.com/office/drawing/2014/chart" uri="{C3380CC4-5D6E-409C-BE32-E72D297353CC}">
              <c16:uniqueId val="{00000001-91C5-4582-8118-02CC724AAD8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9.5603429146990812E-2"/>
                  <c:y val="-0.1769964480606977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Standards'!$U$179:$Z$179</c:f>
              <c:numCache>
                <c:formatCode>General</c:formatCode>
                <c:ptCount val="6"/>
                <c:pt idx="2">
                  <c:v>300</c:v>
                </c:pt>
                <c:pt idx="5">
                  <c:v>200</c:v>
                </c:pt>
              </c:numCache>
            </c:numRef>
          </c:xVal>
          <c:yVal>
            <c:numRef>
              <c:f>'Reference Standards'!$U$180:$Z$180</c:f>
              <c:numCache>
                <c:formatCode>General</c:formatCode>
                <c:ptCount val="6"/>
                <c:pt idx="0">
                  <c:v>0</c:v>
                </c:pt>
                <c:pt idx="1">
                  <c:v>0.28999999999999998</c:v>
                </c:pt>
                <c:pt idx="2">
                  <c:v>0.5</c:v>
                </c:pt>
                <c:pt idx="3">
                  <c:v>0.69</c:v>
                </c:pt>
                <c:pt idx="4">
                  <c:v>0.7</c:v>
                </c:pt>
                <c:pt idx="5">
                  <c:v>1</c:v>
                </c:pt>
              </c:numCache>
            </c:numRef>
          </c:yVal>
          <c:smooth val="0"/>
          <c:extLst>
            <c:ext xmlns:c16="http://schemas.microsoft.com/office/drawing/2014/chart" uri="{C3380CC4-5D6E-409C-BE32-E72D297353CC}">
              <c16:uniqueId val="{00000003-91C5-4582-8118-02CC724AAD8D}"/>
            </c:ext>
          </c:extLst>
        </c:ser>
        <c:ser>
          <c:idx val="2"/>
          <c:order val="2"/>
          <c:tx>
            <c:v>Crest</c:v>
          </c:tx>
          <c:spPr>
            <a:ln w="25400" cap="rnd">
              <a:solidFill>
                <a:schemeClr val="accent1"/>
              </a:solidFill>
              <a:round/>
            </a:ln>
            <a:effectLst/>
          </c:spPr>
          <c:marker>
            <c:symbol val="none"/>
          </c:marker>
          <c:xVal>
            <c:numRef>
              <c:f>'Reference Standards'!$Z$178:$Z$179</c:f>
              <c:numCache>
                <c:formatCode>General</c:formatCode>
                <c:ptCount val="2"/>
                <c:pt idx="0">
                  <c:v>95</c:v>
                </c:pt>
                <c:pt idx="1">
                  <c:v>200</c:v>
                </c:pt>
              </c:numCache>
            </c:numRef>
          </c:xVal>
          <c:yVal>
            <c:numRef>
              <c:f>('Reference Standards'!$Z$180,'Reference Standards'!$Z$180)</c:f>
              <c:numCache>
                <c:formatCode>General</c:formatCode>
                <c:ptCount val="2"/>
                <c:pt idx="0">
                  <c:v>1</c:v>
                </c:pt>
                <c:pt idx="1">
                  <c:v>1</c:v>
                </c:pt>
              </c:numCache>
            </c:numRef>
          </c:yVal>
          <c:smooth val="0"/>
          <c:extLst>
            <c:ext xmlns:c16="http://schemas.microsoft.com/office/drawing/2014/chart" uri="{C3380CC4-5D6E-409C-BE32-E72D297353CC}">
              <c16:uniqueId val="{00000005-91C5-4582-8118-02CC724AAD8D}"/>
            </c:ext>
          </c:extLst>
        </c:ser>
        <c:ser>
          <c:idx val="3"/>
          <c:order val="3"/>
          <c:tx>
            <c:v>Tail</c:v>
          </c:tx>
          <c:spPr>
            <a:ln w="25400" cap="rnd">
              <a:solidFill>
                <a:schemeClr val="accent1"/>
              </a:solidFill>
              <a:round/>
            </a:ln>
            <a:effectLst/>
          </c:spPr>
          <c:marker>
            <c:symbol val="none"/>
          </c:marker>
          <c:xVal>
            <c:numLit>
              <c:formatCode>General</c:formatCode>
              <c:ptCount val="2"/>
              <c:pt idx="0">
                <c:v>300</c:v>
              </c:pt>
              <c:pt idx="1">
                <c:v>400</c:v>
              </c:pt>
            </c:numLit>
          </c:xVal>
          <c:yVal>
            <c:numRef>
              <c:f>('Reference Standards'!$W$180,'Reference Standards'!$W$180)</c:f>
              <c:numCache>
                <c:formatCode>General</c:formatCode>
                <c:ptCount val="2"/>
                <c:pt idx="0">
                  <c:v>0.5</c:v>
                </c:pt>
                <c:pt idx="1">
                  <c:v>0.5</c:v>
                </c:pt>
              </c:numCache>
            </c:numRef>
          </c:yVal>
          <c:smooth val="0"/>
          <c:extLst>
            <c:ext xmlns:c16="http://schemas.microsoft.com/office/drawing/2014/chart" uri="{C3380CC4-5D6E-409C-BE32-E72D297353CC}">
              <c16:uniqueId val="{00000006-91C5-4582-8118-02CC724AAD8D}"/>
            </c:ext>
          </c:extLst>
        </c:ser>
        <c:dLbls>
          <c:showLegendKey val="0"/>
          <c:showVal val="0"/>
          <c:showCatName val="0"/>
          <c:showSerName val="0"/>
          <c:showPercent val="0"/>
          <c:showBubbleSize val="0"/>
        </c:dLbls>
        <c:axId val="455797256"/>
        <c:axId val="455792160"/>
      </c:scatterChart>
      <c:valAx>
        <c:axId val="455797256"/>
        <c:scaling>
          <c:orientation val="minMax"/>
          <c:max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(#/Acre)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2160"/>
        <c:crosses val="autoZero"/>
        <c:crossBetween val="midCat"/>
      </c:valAx>
      <c:valAx>
        <c:axId val="4557921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972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Summary'!$A$22</c:f>
              <c:strCache>
                <c:ptCount val="1"/>
                <c:pt idx="0">
                  <c:v>Hydrology</c:v>
                </c:pt>
              </c:strCache>
            </c:strRef>
          </c:tx>
          <c:spPr>
            <a:ln w="19050" cap="rnd">
              <a:solidFill>
                <a:srgbClr val="00B0F0"/>
              </a:solidFill>
              <a:prstDash val="dash"/>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Summary'!$F$22:$O$22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53E5-43F6-935D-28E090B64FB7}"/>
            </c:ext>
          </c:extLst>
        </c:ser>
        <c:ser>
          <c:idx val="6"/>
          <c:order val="1"/>
          <c:tx>
            <c:strRef>
              <c:f>'Data Summary'!$A$23</c:f>
              <c:strCache>
                <c:ptCount val="1"/>
                <c:pt idx="0">
                  <c:v>Hydraulics</c:v>
                </c:pt>
              </c:strCache>
            </c:strRef>
          </c:tx>
          <c:spPr>
            <a:ln w="19050" cap="rnd">
              <a:solidFill>
                <a:srgbClr val="0070C0"/>
              </a:solidFill>
              <a:prstDash val="dash"/>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Summary'!$F$23:$O$23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2-53E5-43F6-935D-28E090B64FB7}"/>
            </c:ext>
          </c:extLst>
        </c:ser>
        <c:ser>
          <c:idx val="4"/>
          <c:order val="2"/>
          <c:tx>
            <c:strRef>
              <c:f>'Data Summary'!$A$24:$B$24</c:f>
              <c:strCache>
                <c:ptCount val="2"/>
                <c:pt idx="0">
                  <c:v>Geomorphology</c:v>
                </c:pt>
              </c:strCache>
            </c:strRef>
          </c:tx>
          <c:spPr>
            <a:ln w="19050" cap="rnd">
              <a:solidFill>
                <a:schemeClr val="accent2"/>
              </a:solidFill>
              <a:prstDash val="dash"/>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Summary'!$F$24:$O$24</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53E5-43F6-935D-28E090B64FB7}"/>
            </c:ext>
          </c:extLst>
        </c:ser>
        <c:ser>
          <c:idx val="7"/>
          <c:order val="3"/>
          <c:tx>
            <c:strRef>
              <c:f>'Data Summary'!$A$25</c:f>
              <c:strCache>
                <c:ptCount val="1"/>
                <c:pt idx="0">
                  <c:v>Physicochemical</c:v>
                </c:pt>
              </c:strCache>
            </c:strRef>
          </c:tx>
          <c:spPr>
            <a:ln w="19050" cap="rnd">
              <a:solidFill>
                <a:schemeClr val="accent4"/>
              </a:solidFill>
              <a:prstDash val="dash"/>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Summary'!$F$25:$O$25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53E5-43F6-935D-28E090B64FB7}"/>
            </c:ext>
          </c:extLst>
        </c:ser>
        <c:ser>
          <c:idx val="1"/>
          <c:order val="4"/>
          <c:tx>
            <c:strRef>
              <c:f>'Data Summary'!$A$26:$B$26</c:f>
              <c:strCache>
                <c:ptCount val="2"/>
                <c:pt idx="0">
                  <c:v>Biology</c:v>
                </c:pt>
              </c:strCache>
            </c:strRef>
          </c:tx>
          <c:spPr>
            <a:ln w="19050" cap="rnd">
              <a:solidFill>
                <a:srgbClr val="92D050"/>
              </a:solidFill>
              <a:prstDash val="dash"/>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53E5-43F6-935D-28E090B64FB7}"/>
            </c:ext>
          </c:extLst>
        </c:ser>
        <c:ser>
          <c:idx val="0"/>
          <c:order val="5"/>
          <c:tx>
            <c:v>Monitoring Data</c:v>
          </c:tx>
          <c:spPr>
            <a:ln w="28575" cap="rnd">
              <a:solidFill>
                <a:schemeClr val="tx1"/>
              </a:solidFill>
              <a:round/>
            </a:ln>
            <a:effectLst/>
          </c:spPr>
          <c:marker>
            <c:symbol val="none"/>
          </c:marker>
          <c:xVal>
            <c:numRef>
              <c:f>'Data Summary'!$F$21:$O$21</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Summary'!$F$27:$O$27</c:f>
              <c:numCache>
                <c:formatCode>0.00</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518598328"/>
        <c:axId val="518602640"/>
      </c:scatterChart>
      <c:valAx>
        <c:axId val="5185983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8602640"/>
        <c:crosses val="autoZero"/>
        <c:crossBetween val="midCat"/>
      </c:valAx>
      <c:valAx>
        <c:axId val="5186026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1859832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BHR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forward val="0.30000000000000004"/>
            <c:dispRSqr val="0"/>
            <c:dispEq val="1"/>
            <c:trendlineLbl>
              <c:layout>
                <c:manualLayout>
                  <c:x val="-0.35713714743874786"/>
                  <c:y val="-0.6261010673101127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Standards'!$L$9:$Q$9</c:f>
              <c:numCache>
                <c:formatCode>General</c:formatCode>
                <c:ptCount val="6"/>
                <c:pt idx="2">
                  <c:v>1.5</c:v>
                </c:pt>
                <c:pt idx="5">
                  <c:v>1</c:v>
                </c:pt>
              </c:numCache>
            </c:numRef>
          </c:xVal>
          <c:yVal>
            <c:numRef>
              <c:f>'Reference Standards'!$L$10:$Q$10</c:f>
              <c:numCache>
                <c:formatCode>General</c:formatCode>
                <c:ptCount val="6"/>
                <c:pt idx="0">
                  <c:v>0</c:v>
                </c:pt>
                <c:pt idx="1">
                  <c:v>0.2</c:v>
                </c:pt>
                <c:pt idx="2">
                  <c:v>0.3</c:v>
                </c:pt>
                <c:pt idx="3">
                  <c:v>0.69</c:v>
                </c:pt>
                <c:pt idx="4">
                  <c:v>0.7</c:v>
                </c:pt>
                <c:pt idx="5">
                  <c:v>1</c:v>
                </c:pt>
              </c:numCache>
            </c:numRef>
          </c:yVal>
          <c:smooth val="0"/>
          <c:extLst>
            <c:ext xmlns:c16="http://schemas.microsoft.com/office/drawing/2014/chart" uri="{C3380CC4-5D6E-409C-BE32-E72D297353CC}">
              <c16:uniqueId val="{00000000-C266-4796-88E9-230BE821F3E6}"/>
            </c:ext>
          </c:extLst>
        </c:ser>
        <c:dLbls>
          <c:showLegendKey val="0"/>
          <c:showVal val="0"/>
          <c:showCatName val="0"/>
          <c:showSerName val="0"/>
          <c:showPercent val="0"/>
          <c:showBubbleSize val="0"/>
        </c:dLbls>
        <c:axId val="450382208"/>
        <c:axId val="450377896"/>
      </c:scatterChart>
      <c:valAx>
        <c:axId val="450382208"/>
        <c:scaling>
          <c:orientation val="minMax"/>
          <c:max val="1.8"/>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7896"/>
        <c:crosses val="autoZero"/>
        <c:crossBetween val="midCat"/>
      </c:valAx>
      <c:valAx>
        <c:axId val="4503778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82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a:t>
            </a:r>
            <a:r>
              <a:rPr lang="en-US" baseline="0"/>
              <a:t> for C and E Streams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backward val="1"/>
            <c:dispRSqr val="0"/>
            <c:dispEq val="1"/>
            <c:trendlineLbl>
              <c:layout>
                <c:manualLayout>
                  <c:x val="0.24154973056792955"/>
                  <c:y val="0.1434355164516784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Standards'!$L$43:$P$43</c:f>
              <c:numCache>
                <c:formatCode>General</c:formatCode>
                <c:ptCount val="5"/>
                <c:pt idx="2">
                  <c:v>2</c:v>
                </c:pt>
                <c:pt idx="4">
                  <c:v>2.4</c:v>
                </c:pt>
              </c:numCache>
            </c:numRef>
          </c:xVal>
          <c:yVal>
            <c:numRef>
              <c:f>'Reference Standards'!$L$44:$P$44</c:f>
              <c:numCache>
                <c:formatCode>General</c:formatCode>
                <c:ptCount val="5"/>
                <c:pt idx="0">
                  <c:v>0</c:v>
                </c:pt>
                <c:pt idx="1">
                  <c:v>0.28999999999999998</c:v>
                </c:pt>
                <c:pt idx="2">
                  <c:v>0.3</c:v>
                </c:pt>
                <c:pt idx="3">
                  <c:v>0.6</c:v>
                </c:pt>
                <c:pt idx="4">
                  <c:v>0.7</c:v>
                </c:pt>
              </c:numCache>
            </c:numRef>
          </c:yVal>
          <c:smooth val="0"/>
          <c:extLs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8817965508072475E-3"/>
                  <c:y val="0.12240579592157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Standards'!$P$43:$Q$43</c:f>
              <c:numCache>
                <c:formatCode>General</c:formatCode>
                <c:ptCount val="2"/>
                <c:pt idx="0">
                  <c:v>2.4</c:v>
                </c:pt>
                <c:pt idx="1">
                  <c:v>5</c:v>
                </c:pt>
              </c:numCache>
            </c:numRef>
          </c:xVal>
          <c:yVal>
            <c:numRef>
              <c:f>'Reference Standards'!$P$44:$Q$44</c:f>
              <c:numCache>
                <c:formatCode>General</c:formatCode>
                <c:ptCount val="2"/>
                <c:pt idx="0">
                  <c:v>0.7</c:v>
                </c:pt>
                <c:pt idx="1">
                  <c:v>1</c:v>
                </c:pt>
              </c:numCache>
            </c:numRef>
          </c:yVal>
          <c:smooth val="0"/>
          <c:extLst>
            <c:ext xmlns:c16="http://schemas.microsoft.com/office/drawing/2014/chart" uri="{C3380CC4-5D6E-409C-BE32-E72D297353CC}">
              <c16:uniqueId val="{00000000-FBB7-4035-A17D-E0D766088381}"/>
            </c:ext>
          </c:extLst>
        </c:ser>
        <c:dLbls>
          <c:showLegendKey val="0"/>
          <c:showVal val="0"/>
          <c:showCatName val="0"/>
          <c:showSerName val="0"/>
          <c:showPercent val="0"/>
          <c:showBubbleSize val="0"/>
        </c:dLbls>
        <c:axId val="450380248"/>
        <c:axId val="450377112"/>
      </c:scatterChart>
      <c:valAx>
        <c:axId val="450380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a:t>
                </a:r>
                <a:r>
                  <a:rPr lang="en-US" baseline="0"/>
                  <a:t> (ft/ft)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7112"/>
        <c:crosses val="autoZero"/>
        <c:crossBetween val="midCat"/>
      </c:valAx>
      <c:valAx>
        <c:axId val="4503771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80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 for A, B and Bc Streams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backward val="1"/>
            <c:dispRSqr val="0"/>
            <c:dispEq val="1"/>
            <c:trendlineLbl>
              <c:layout>
                <c:manualLayout>
                  <c:x val="-4.1485129618198141E-2"/>
                  <c:y val="0.15532287354193836"/>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Standards'!$L$78:$P$78</c:f>
              <c:numCache>
                <c:formatCode>General</c:formatCode>
                <c:ptCount val="5"/>
                <c:pt idx="2">
                  <c:v>1.2</c:v>
                </c:pt>
                <c:pt idx="4">
                  <c:v>1.4</c:v>
                </c:pt>
              </c:numCache>
            </c:numRef>
          </c:xVal>
          <c:yVal>
            <c:numRef>
              <c:f>'Reference Standards'!$L$79:$P$79</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7890770611723942E-2"/>
                  <c:y val="2.265315975464582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Standards'!$P$78:$Q$78</c:f>
              <c:numCache>
                <c:formatCode>General</c:formatCode>
                <c:ptCount val="2"/>
                <c:pt idx="0">
                  <c:v>1.4</c:v>
                </c:pt>
                <c:pt idx="1">
                  <c:v>2.2000000000000002</c:v>
                </c:pt>
              </c:numCache>
            </c:numRef>
          </c:xVal>
          <c:yVal>
            <c:numRef>
              <c:f>'Reference Standards'!$P$79:$Q$79</c:f>
              <c:numCache>
                <c:formatCode>General</c:formatCode>
                <c:ptCount val="2"/>
                <c:pt idx="0">
                  <c:v>0.7</c:v>
                </c:pt>
                <c:pt idx="1">
                  <c:v>1</c:v>
                </c:pt>
              </c:numCache>
            </c:numRef>
          </c:yVal>
          <c:smooth val="0"/>
          <c:extLst>
            <c:ext xmlns:c16="http://schemas.microsoft.com/office/drawing/2014/chart" uri="{C3380CC4-5D6E-409C-BE32-E72D297353CC}">
              <c16:uniqueId val="{00000000-EF40-4FA8-8C0D-00C8C3EA5E04}"/>
            </c:ext>
          </c:extLst>
        </c:ser>
        <c:dLbls>
          <c:showLegendKey val="0"/>
          <c:showVal val="0"/>
          <c:showCatName val="0"/>
          <c:showSerName val="0"/>
          <c:showPercent val="0"/>
          <c:showBubbleSize val="0"/>
        </c:dLbls>
        <c:axId val="450382992"/>
        <c:axId val="450379072"/>
      </c:scatterChart>
      <c:valAx>
        <c:axId val="450382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(ft/ft)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9072"/>
        <c:crosses val="autoZero"/>
        <c:crossBetween val="midCat"/>
      </c:valAx>
      <c:valAx>
        <c:axId val="4503790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82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LWDI</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341059526259305"/>
                  <c:y val="0.3498506952177751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Standards'!$U$9:$Y$9</c:f>
              <c:numCache>
                <c:formatCode>General</c:formatCode>
                <c:ptCount val="5"/>
                <c:pt idx="0">
                  <c:v>0</c:v>
                </c:pt>
                <c:pt idx="4">
                  <c:v>1350</c:v>
                </c:pt>
              </c:numCache>
            </c:numRef>
          </c:xVal>
          <c:yVal>
            <c:numRef>
              <c:f>'Reference Standards'!$U$10:$Y$10</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7D9C-4895-B98E-45CEF21B931D}"/>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3212807842192767E-3"/>
                  <c:y val="0.1674868479778722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Standards'!$Y$9:$Z$9</c:f>
              <c:numCache>
                <c:formatCode>General</c:formatCode>
                <c:ptCount val="2"/>
                <c:pt idx="0">
                  <c:v>1350</c:v>
                </c:pt>
                <c:pt idx="1">
                  <c:v>2825</c:v>
                </c:pt>
              </c:numCache>
            </c:numRef>
          </c:xVal>
          <c:yVal>
            <c:numRef>
              <c:f>'Reference Standards'!$Y$10:$Z$10</c:f>
              <c:numCache>
                <c:formatCode>General</c:formatCode>
                <c:ptCount val="2"/>
                <c:pt idx="0">
                  <c:v>0.7</c:v>
                </c:pt>
                <c:pt idx="1">
                  <c:v>1</c:v>
                </c:pt>
              </c:numCache>
            </c:numRef>
          </c:yVal>
          <c:smooth val="0"/>
          <c:extLst>
            <c:ext xmlns:c16="http://schemas.microsoft.com/office/drawing/2014/chart" uri="{C3380CC4-5D6E-409C-BE32-E72D297353CC}">
              <c16:uniqueId val="{00000002-D10C-4A2D-8BD3-69C9B8098CD7}"/>
            </c:ext>
          </c:extLst>
        </c:ser>
        <c:dLbls>
          <c:showLegendKey val="0"/>
          <c:showVal val="0"/>
          <c:showCatName val="0"/>
          <c:showSerName val="0"/>
          <c:showPercent val="0"/>
          <c:showBubbleSize val="0"/>
        </c:dLbls>
        <c:axId val="450379856"/>
        <c:axId val="450380640"/>
      </c:scatterChart>
      <c:valAx>
        <c:axId val="4503798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Values (Unitless)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80640"/>
        <c:crosses val="autoZero"/>
        <c:crossBetween val="midCat"/>
      </c:valAx>
      <c:valAx>
        <c:axId val="4503806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379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Pool Spacing Ratio for C and E Stream Types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31750" cap="rnd">
              <a:solidFill>
                <a:srgbClr val="FF0000"/>
              </a:solidFill>
              <a:round/>
            </a:ln>
            <a:effectLst/>
          </c:spPr>
          <c:marker>
            <c:symbol val="circle"/>
            <c:size val="5"/>
            <c:spPr>
              <a:solidFill>
                <a:schemeClr val="accent1"/>
              </a:solidFill>
              <a:ln w="9525">
                <a:solidFill>
                  <a:schemeClr val="accent1"/>
                </a:solidFill>
              </a:ln>
              <a:effectLst/>
            </c:spPr>
          </c:marker>
          <c:trendline>
            <c:spPr>
              <a:ln w="19050" cap="rnd">
                <a:solidFill>
                  <a:schemeClr val="accent5"/>
                </a:solidFill>
                <a:prstDash val="sysDot"/>
              </a:ln>
              <a:effectLst/>
            </c:spPr>
            <c:trendlineType val="linear"/>
            <c:dispRSqr val="0"/>
            <c:dispEq val="1"/>
            <c:trendlineLbl>
              <c:layout>
                <c:manualLayout>
                  <c:x val="-5.9747377605702374E-2"/>
                  <c:y val="7.7090259284138832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Standards'!$U$283:$Z$283</c:f>
              <c:numCache>
                <c:formatCode>General</c:formatCode>
                <c:ptCount val="6"/>
                <c:pt idx="0">
                  <c:v>1</c:v>
                </c:pt>
                <c:pt idx="5">
                  <c:v>3.5</c:v>
                </c:pt>
              </c:numCache>
            </c:numRef>
          </c:xVal>
          <c:yVal>
            <c:numRef>
              <c:f>'Reference Standards'!$U$285:$Z$285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BE28-463C-9C48-4A55EAF8BF3E}"/>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516674367898016E-2"/>
                  <c:y val="-0.5969628332627370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Standards'!$U$284:$Z$284</c:f>
              <c:numCache>
                <c:formatCode>General</c:formatCode>
                <c:ptCount val="6"/>
                <c:pt idx="0">
                  <c:v>9</c:v>
                </c:pt>
                <c:pt idx="5">
                  <c:v>6</c:v>
                </c:pt>
              </c:numCache>
            </c:numRef>
          </c:xVal>
          <c:yVal>
            <c:numRef>
              <c:f>'Reference Standards'!$U$285:$Z$285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2D8B-439A-A86A-F9817A30EAA5}"/>
            </c:ext>
          </c:extLst>
        </c:ser>
        <c:ser>
          <c:idx val="2"/>
          <c:order val="2"/>
          <c:tx>
            <c:v>Crest</c:v>
          </c:tx>
          <c:spPr>
            <a:ln w="22225" cap="rnd">
              <a:solidFill>
                <a:schemeClr val="tx1"/>
              </a:solidFill>
              <a:round/>
            </a:ln>
            <a:effectLst/>
          </c:spPr>
          <c:marker>
            <c:symbol val="none"/>
          </c:marker>
          <c:xVal>
            <c:numRef>
              <c:f>('Reference Standards'!$Z$283,'Reference Standards'!$Z$284)</c:f>
              <c:numCache>
                <c:formatCode>General</c:formatCode>
                <c:ptCount val="2"/>
                <c:pt idx="0">
                  <c:v>3.5</c:v>
                </c:pt>
                <c:pt idx="1">
                  <c:v>6</c:v>
                </c:pt>
              </c:numCache>
            </c:numRef>
          </c:xVal>
          <c:yVal>
            <c:numRef>
              <c:f>('Reference Standards'!$Z$285,'Reference Standards'!$Z$285)</c:f>
              <c:numCache>
                <c:formatCode>General</c:formatCode>
                <c:ptCount val="2"/>
                <c:pt idx="0">
                  <c:v>1</c:v>
                </c:pt>
                <c:pt idx="1">
                  <c:v>1</c:v>
                </c:pt>
              </c:numCache>
            </c:numRef>
          </c:yVal>
          <c:smooth val="0"/>
          <c:extLst>
            <c:ext xmlns:c16="http://schemas.microsoft.com/office/drawing/2014/chart" uri="{C3380CC4-5D6E-409C-BE32-E72D297353CC}">
              <c16:uniqueId val="{00000005-5731-4AD4-B5E2-BF1E99B88B16}"/>
            </c:ext>
          </c:extLst>
        </c:ser>
        <c:dLbls>
          <c:showLegendKey val="0"/>
          <c:showVal val="0"/>
          <c:showCatName val="0"/>
          <c:showSerName val="0"/>
          <c:showPercent val="0"/>
          <c:showBubbleSize val="0"/>
        </c:dLbls>
        <c:axId val="380701856"/>
        <c:axId val="380703816"/>
      </c:scatterChart>
      <c:valAx>
        <c:axId val="380701856"/>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a:t>
                </a:r>
                <a:r>
                  <a:rPr lang="en-US" baseline="0"/>
                  <a:t> (ft/ft)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03816"/>
        <c:crosses val="autoZero"/>
        <c:crossBetween val="midCat"/>
      </c:valAx>
      <c:valAx>
        <c:axId val="38070381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01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48259</xdr:rowOff>
    </xdr:from>
    <xdr:to>
      <xdr:col>7</xdr:col>
      <xdr:colOff>4446</xdr:colOff>
      <xdr:row>51</xdr:row>
      <xdr:rowOff>29632</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9463192"/>
          <a:ext cx="5490846" cy="72644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t>If you find errors or problems, please contact Bethany Matousek at MatousekB@michigan.gov.</a:t>
          </a:r>
        </a:p>
      </xdr:txBody>
    </xdr:sp>
    <xdr:clientData/>
  </xdr:twoCellAnchor>
  <xdr:twoCellAnchor>
    <xdr:from>
      <xdr:col>6</xdr:col>
      <xdr:colOff>38660</xdr:colOff>
      <xdr:row>8</xdr:row>
      <xdr:rowOff>7844</xdr:rowOff>
    </xdr:from>
    <xdr:to>
      <xdr:col>11</xdr:col>
      <xdr:colOff>571499</xdr:colOff>
      <xdr:row>18</xdr:row>
      <xdr:rowOff>177613</xdr:rowOff>
    </xdr:to>
    <xdr:sp macro="" textlink="">
      <xdr:nvSpPr>
        <xdr:cNvPr id="13" name="TextBox 12">
          <a:extLst>
            <a:ext uri="{FF2B5EF4-FFF2-40B4-BE49-F238E27FC236}">
              <a16:creationId xmlns:a16="http://schemas.microsoft.com/office/drawing/2014/main" id="{7EF07D66-E49F-4053-BBFC-F5506EF10E67}"/>
            </a:ext>
          </a:extLst>
        </xdr:cNvPr>
        <xdr:cNvSpPr txBox="1"/>
      </xdr:nvSpPr>
      <xdr:spPr>
        <a:xfrm>
          <a:off x="4907840" y="1516604"/>
          <a:ext cx="4563819" cy="1823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Expand</a:t>
          </a:r>
          <a:r>
            <a:rPr lang="en-US" sz="1100" baseline="0"/>
            <a:t> on the programmatic goals of this project (</a:t>
          </a:r>
          <a:r>
            <a:rPr lang="en-US" sz="1100" b="0" i="0">
              <a:solidFill>
                <a:schemeClr val="dk1"/>
              </a:solidFill>
              <a:effectLst/>
              <a:latin typeface="+mn-lt"/>
              <a:ea typeface="+mn-ea"/>
              <a:cs typeface="+mn-cs"/>
            </a:rPr>
            <a:t>For example, if the programmatic goal is to offset on-site impacts by generating mitigation credits, then provide the type and number of credits needed):</a:t>
          </a:r>
        </a:p>
        <a:p>
          <a:endParaRPr lang="en-US" sz="1100" baseline="0"/>
        </a:p>
        <a:p>
          <a:endParaRPr lang="en-US" sz="1100"/>
        </a:p>
      </xdr:txBody>
    </xdr:sp>
    <xdr:clientData/>
  </xdr:twoCellAnchor>
  <xdr:twoCellAnchor>
    <xdr:from>
      <xdr:col>6</xdr:col>
      <xdr:colOff>43391</xdr:colOff>
      <xdr:row>19</xdr:row>
      <xdr:rowOff>24092</xdr:rowOff>
    </xdr:from>
    <xdr:to>
      <xdr:col>11</xdr:col>
      <xdr:colOff>567266</xdr:colOff>
      <xdr:row>29</xdr:row>
      <xdr:rowOff>152400</xdr:rowOff>
    </xdr:to>
    <xdr:sp macro="" textlink="">
      <xdr:nvSpPr>
        <xdr:cNvPr id="14" name="TextBox 13">
          <a:extLst>
            <a:ext uri="{FF2B5EF4-FFF2-40B4-BE49-F238E27FC236}">
              <a16:creationId xmlns:a16="http://schemas.microsoft.com/office/drawing/2014/main" id="{ECDBAEC9-3D7E-4856-9516-90B2278F9981}"/>
            </a:ext>
          </a:extLst>
        </xdr:cNvPr>
        <xdr:cNvSpPr txBox="1"/>
      </xdr:nvSpPr>
      <xdr:spPr>
        <a:xfrm>
          <a:off x="5472641" y="3519767"/>
          <a:ext cx="4719638" cy="2328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a:t>
          </a:r>
        </a:p>
        <a:p>
          <a:endParaRPr lang="en-US" sz="1100"/>
        </a:p>
      </xdr:txBody>
    </xdr:sp>
    <xdr:clientData/>
  </xdr:twoCellAnchor>
  <xdr:twoCellAnchor>
    <xdr:from>
      <xdr:col>6</xdr:col>
      <xdr:colOff>61911</xdr:colOff>
      <xdr:row>30</xdr:row>
      <xdr:rowOff>38099</xdr:rowOff>
    </xdr:from>
    <xdr:to>
      <xdr:col>11</xdr:col>
      <xdr:colOff>585786</xdr:colOff>
      <xdr:row>43</xdr:row>
      <xdr:rowOff>142875</xdr:rowOff>
    </xdr:to>
    <xdr:sp macro="" textlink="">
      <xdr:nvSpPr>
        <xdr:cNvPr id="15" name="TextBox 14">
          <a:extLst>
            <a:ext uri="{FF2B5EF4-FFF2-40B4-BE49-F238E27FC236}">
              <a16:creationId xmlns:a16="http://schemas.microsoft.com/office/drawing/2014/main" id="{07F33E10-88AA-47C9-B3EC-178B5F383D7F}"/>
            </a:ext>
          </a:extLst>
        </xdr:cNvPr>
        <xdr:cNvSpPr txBox="1"/>
      </xdr:nvSpPr>
      <xdr:spPr>
        <a:xfrm>
          <a:off x="5491161" y="5915024"/>
          <a:ext cx="4719638" cy="282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endParaRPr lang="en-US" sz="1100" baseline="0"/>
        </a:p>
        <a:p>
          <a:endParaRPr lang="en-US" sz="1100" baseline="0"/>
        </a:p>
        <a:p>
          <a:endParaRPr lang="en-US" sz="1100" baseline="0"/>
        </a:p>
        <a:p>
          <a:endParaRPr lang="en-US" sz="1100" baseline="0"/>
        </a:p>
        <a:p>
          <a:r>
            <a:rPr lang="en-US" sz="1100" baseline="0"/>
            <a:t>Objectives: </a:t>
          </a:r>
          <a:endParaRPr lang="en-US" sz="1100"/>
        </a:p>
      </xdr:txBody>
    </xdr:sp>
    <xdr:clientData/>
  </xdr:twoCellAnchor>
  <xdr:twoCellAnchor>
    <xdr:from>
      <xdr:col>0</xdr:col>
      <xdr:colOff>52357</xdr:colOff>
      <xdr:row>16</xdr:row>
      <xdr:rowOff>76199</xdr:rowOff>
    </xdr:from>
    <xdr:to>
      <xdr:col>4</xdr:col>
      <xdr:colOff>567267</xdr:colOff>
      <xdr:row>27</xdr:row>
      <xdr:rowOff>118533</xdr:rowOff>
    </xdr:to>
    <xdr:sp macro="" textlink="">
      <xdr:nvSpPr>
        <xdr:cNvPr id="17" name="TextBox 16">
          <a:extLst>
            <a:ext uri="{FF2B5EF4-FFF2-40B4-BE49-F238E27FC236}">
              <a16:creationId xmlns:a16="http://schemas.microsoft.com/office/drawing/2014/main" id="{7CD7D59B-83C9-4B69-94D6-DD9BB23D2471}"/>
            </a:ext>
          </a:extLst>
        </xdr:cNvPr>
        <xdr:cNvSpPr txBox="1"/>
      </xdr:nvSpPr>
      <xdr:spPr>
        <a:xfrm>
          <a:off x="52357" y="2929466"/>
          <a:ext cx="4434977" cy="2472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twoCellAnchor>
    <xdr:from>
      <xdr:col>0</xdr:col>
      <xdr:colOff>27453</xdr:colOff>
      <xdr:row>29</xdr:row>
      <xdr:rowOff>118533</xdr:rowOff>
    </xdr:from>
    <xdr:to>
      <xdr:col>4</xdr:col>
      <xdr:colOff>542363</xdr:colOff>
      <xdr:row>43</xdr:row>
      <xdr:rowOff>76200</xdr:rowOff>
    </xdr:to>
    <xdr:sp macro="" textlink="">
      <xdr:nvSpPr>
        <xdr:cNvPr id="19" name="TextBox 18">
          <a:extLst>
            <a:ext uri="{FF2B5EF4-FFF2-40B4-BE49-F238E27FC236}">
              <a16:creationId xmlns:a16="http://schemas.microsoft.com/office/drawing/2014/main" id="{DFE16D88-D170-4D42-B194-AC2D6CD296B0}"/>
            </a:ext>
          </a:extLst>
        </xdr:cNvPr>
        <xdr:cNvSpPr txBox="1"/>
      </xdr:nvSpPr>
      <xdr:spPr>
        <a:xfrm>
          <a:off x="27453" y="5782733"/>
          <a:ext cx="4434977" cy="2963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the rationale used to select the stream succession scenario</a:t>
          </a:r>
          <a:r>
            <a:rPr lang="en-US" sz="1100" baseline="0"/>
            <a:t> and which stage of the scenario the reach is currently in</a:t>
          </a:r>
          <a:r>
            <a:rPr 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29</xdr:row>
      <xdr:rowOff>8708</xdr:rowOff>
    </xdr:from>
    <xdr:to>
      <xdr:col>13</xdr:col>
      <xdr:colOff>177982</xdr:colOff>
      <xdr:row>50</xdr:row>
      <xdr:rowOff>137159</xdr:rowOff>
    </xdr:to>
    <xdr:graphicFrame macro="">
      <xdr:nvGraphicFramePr>
        <xdr:cNvPr id="2" name="Chart 1">
          <a:extLst>
            <a:ext uri="{FF2B5EF4-FFF2-40B4-BE49-F238E27FC236}">
              <a16:creationId xmlns:a16="http://schemas.microsoft.com/office/drawing/2014/main"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50892</xdr:colOff>
      <xdr:row>51</xdr:row>
      <xdr:rowOff>44086</xdr:rowOff>
    </xdr:from>
    <xdr:to>
      <xdr:col>13</xdr:col>
      <xdr:colOff>164104</xdr:colOff>
      <xdr:row>72</xdr:row>
      <xdr:rowOff>163829</xdr:rowOff>
    </xdr:to>
    <xdr:graphicFrame macro="">
      <xdr:nvGraphicFramePr>
        <xdr:cNvPr id="3" name="Chart 2">
          <a:extLst>
            <a:ext uri="{FF2B5EF4-FFF2-40B4-BE49-F238E27FC236}">
              <a16:creationId xmlns:a16="http://schemas.microsoft.com/office/drawing/2014/main"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104503</xdr:colOff>
      <xdr:row>51</xdr:row>
      <xdr:rowOff>6531</xdr:rowOff>
    </xdr:from>
    <xdr:to>
      <xdr:col>35</xdr:col>
      <xdr:colOff>343990</xdr:colOff>
      <xdr:row>72</xdr:row>
      <xdr:rowOff>126274</xdr:rowOff>
    </xdr:to>
    <xdr:graphicFrame macro="">
      <xdr:nvGraphicFramePr>
        <xdr:cNvPr id="4" name="Chart 3">
          <a:extLst>
            <a:ext uri="{FF2B5EF4-FFF2-40B4-BE49-F238E27FC236}">
              <a16:creationId xmlns:a16="http://schemas.microsoft.com/office/drawing/2014/main"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96883</xdr:colOff>
      <xdr:row>29</xdr:row>
      <xdr:rowOff>27215</xdr:rowOff>
    </xdr:from>
    <xdr:to>
      <xdr:col>35</xdr:col>
      <xdr:colOff>336370</xdr:colOff>
      <xdr:row>50</xdr:row>
      <xdr:rowOff>155666</xdr:rowOff>
    </xdr:to>
    <xdr:graphicFrame macro="">
      <xdr:nvGraphicFramePr>
        <xdr:cNvPr id="5" name="Chart 4">
          <a:extLst>
            <a:ext uri="{FF2B5EF4-FFF2-40B4-BE49-F238E27FC236}">
              <a16:creationId xmlns:a16="http://schemas.microsoft.com/office/drawing/2014/main"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16329</xdr:colOff>
      <xdr:row>15</xdr:row>
      <xdr:rowOff>58512</xdr:rowOff>
    </xdr:from>
    <xdr:to>
      <xdr:col>16</xdr:col>
      <xdr:colOff>771525</xdr:colOff>
      <xdr:row>39</xdr:row>
      <xdr:rowOff>57149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42182</xdr:colOff>
      <xdr:row>49</xdr:row>
      <xdr:rowOff>50346</xdr:rowOff>
    </xdr:from>
    <xdr:to>
      <xdr:col>17</xdr:col>
      <xdr:colOff>0</xdr:colOff>
      <xdr:row>73</xdr:row>
      <xdr:rowOff>9525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63954</xdr:colOff>
      <xdr:row>84</xdr:row>
      <xdr:rowOff>99331</xdr:rowOff>
    </xdr:from>
    <xdr:to>
      <xdr:col>16</xdr:col>
      <xdr:colOff>742950</xdr:colOff>
      <xdr:row>107</xdr:row>
      <xdr:rowOff>114300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39460</xdr:colOff>
      <xdr:row>15</xdr:row>
      <xdr:rowOff>44903</xdr:rowOff>
    </xdr:from>
    <xdr:to>
      <xdr:col>25</xdr:col>
      <xdr:colOff>771525</xdr:colOff>
      <xdr:row>39</xdr:row>
      <xdr:rowOff>57150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25052</xdr:colOff>
      <xdr:row>290</xdr:row>
      <xdr:rowOff>19452</xdr:rowOff>
    </xdr:from>
    <xdr:to>
      <xdr:col>26</xdr:col>
      <xdr:colOff>119744</xdr:colOff>
      <xdr:row>313</xdr:row>
      <xdr:rowOff>71158</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122464</xdr:colOff>
      <xdr:row>322</xdr:row>
      <xdr:rowOff>54428</xdr:rowOff>
    </xdr:from>
    <xdr:to>
      <xdr:col>25</xdr:col>
      <xdr:colOff>783772</xdr:colOff>
      <xdr:row>344</xdr:row>
      <xdr:rowOff>133350</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30480</xdr:colOff>
      <xdr:row>354</xdr:row>
      <xdr:rowOff>64320</xdr:rowOff>
    </xdr:from>
    <xdr:to>
      <xdr:col>25</xdr:col>
      <xdr:colOff>762000</xdr:colOff>
      <xdr:row>377</xdr:row>
      <xdr:rowOff>54795</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43358</xdr:colOff>
      <xdr:row>389</xdr:row>
      <xdr:rowOff>44852</xdr:rowOff>
    </xdr:from>
    <xdr:to>
      <xdr:col>25</xdr:col>
      <xdr:colOff>711013</xdr:colOff>
      <xdr:row>412</xdr:row>
      <xdr:rowOff>4483</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40822</xdr:colOff>
      <xdr:row>424</xdr:row>
      <xdr:rowOff>82322</xdr:rowOff>
    </xdr:from>
    <xdr:to>
      <xdr:col>25</xdr:col>
      <xdr:colOff>704850</xdr:colOff>
      <xdr:row>447</xdr:row>
      <xdr:rowOff>104775</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61231</xdr:colOff>
      <xdr:row>553</xdr:row>
      <xdr:rowOff>0</xdr:rowOff>
    </xdr:from>
    <xdr:to>
      <xdr:col>27</xdr:col>
      <xdr:colOff>88446</xdr:colOff>
      <xdr:row>553</xdr:row>
      <xdr:rowOff>0</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108177</xdr:colOff>
      <xdr:row>458</xdr:row>
      <xdr:rowOff>70077</xdr:rowOff>
    </xdr:from>
    <xdr:to>
      <xdr:col>25</xdr:col>
      <xdr:colOff>751115</xdr:colOff>
      <xdr:row>481</xdr:row>
      <xdr:rowOff>161925</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61232</xdr:colOff>
      <xdr:row>553</xdr:row>
      <xdr:rowOff>0</xdr:rowOff>
    </xdr:from>
    <xdr:to>
      <xdr:col>27</xdr:col>
      <xdr:colOff>88446</xdr:colOff>
      <xdr:row>553</xdr:row>
      <xdr:rowOff>0</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85725</xdr:colOff>
      <xdr:row>252</xdr:row>
      <xdr:rowOff>57150</xdr:rowOff>
    </xdr:from>
    <xdr:to>
      <xdr:col>25</xdr:col>
      <xdr:colOff>723900</xdr:colOff>
      <xdr:row>278</xdr:row>
      <xdr:rowOff>66675</xdr:rowOff>
    </xdr:to>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48745</xdr:colOff>
      <xdr:row>14</xdr:row>
      <xdr:rowOff>89087</xdr:rowOff>
    </xdr:from>
    <xdr:to>
      <xdr:col>43</xdr:col>
      <xdr:colOff>696445</xdr:colOff>
      <xdr:row>36</xdr:row>
      <xdr:rowOff>117662</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37</xdr:col>
      <xdr:colOff>138111</xdr:colOff>
      <xdr:row>47</xdr:row>
      <xdr:rowOff>130628</xdr:rowOff>
    </xdr:from>
    <xdr:to>
      <xdr:col>43</xdr:col>
      <xdr:colOff>695324</xdr:colOff>
      <xdr:row>72</xdr:row>
      <xdr:rowOff>65314</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77711</xdr:colOff>
      <xdr:row>83</xdr:row>
      <xdr:rowOff>56319</xdr:rowOff>
    </xdr:from>
    <xdr:to>
      <xdr:col>25</xdr:col>
      <xdr:colOff>699558</xdr:colOff>
      <xdr:row>106</xdr:row>
      <xdr:rowOff>62442</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53069</xdr:colOff>
      <xdr:row>117</xdr:row>
      <xdr:rowOff>73480</xdr:rowOff>
    </xdr:from>
    <xdr:to>
      <xdr:col>26</xdr:col>
      <xdr:colOff>19050</xdr:colOff>
      <xdr:row>140</xdr:row>
      <xdr:rowOff>152400</xdr:rowOff>
    </xdr:to>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64769</xdr:colOff>
      <xdr:row>18</xdr:row>
      <xdr:rowOff>26458</xdr:rowOff>
    </xdr:from>
    <xdr:to>
      <xdr:col>34</xdr:col>
      <xdr:colOff>746759</xdr:colOff>
      <xdr:row>40</xdr:row>
      <xdr:rowOff>106680</xdr:rowOff>
    </xdr:to>
    <xdr:graphicFrame macro="">
      <xdr:nvGraphicFramePr>
        <xdr:cNvPr id="40" name="Chart 39">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19</xdr:col>
      <xdr:colOff>142874</xdr:colOff>
      <xdr:row>387</xdr:row>
      <xdr:rowOff>0</xdr:rowOff>
    </xdr:from>
    <xdr:to>
      <xdr:col>27</xdr:col>
      <xdr:colOff>170088</xdr:colOff>
      <xdr:row>387</xdr:row>
      <xdr:rowOff>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9978</xdr:colOff>
      <xdr:row>85</xdr:row>
      <xdr:rowOff>10888</xdr:rowOff>
    </xdr:from>
    <xdr:to>
      <xdr:col>7</xdr:col>
      <xdr:colOff>762000</xdr:colOff>
      <xdr:row>108</xdr:row>
      <xdr:rowOff>104776</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28</xdr:col>
      <xdr:colOff>24494</xdr:colOff>
      <xdr:row>153</xdr:row>
      <xdr:rowOff>64635</xdr:rowOff>
    </xdr:from>
    <xdr:to>
      <xdr:col>35</xdr:col>
      <xdr:colOff>402771</xdr:colOff>
      <xdr:row>177</xdr:row>
      <xdr:rowOff>95250</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27</xdr:col>
      <xdr:colOff>416380</xdr:colOff>
      <xdr:row>87</xdr:row>
      <xdr:rowOff>57015</xdr:rowOff>
    </xdr:from>
    <xdr:to>
      <xdr:col>35</xdr:col>
      <xdr:colOff>635375</xdr:colOff>
      <xdr:row>109</xdr:row>
      <xdr:rowOff>165735</xdr:rowOff>
    </xdr:to>
    <xdr:graphicFrame macro="">
      <xdr:nvGraphicFramePr>
        <xdr:cNvPr id="51" name="Chart 50">
          <a:extLst>
            <a:ext uri="{FF2B5EF4-FFF2-40B4-BE49-F238E27FC236}">
              <a16:creationId xmlns:a16="http://schemas.microsoft.com/office/drawing/2014/main"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28</xdr:col>
      <xdr:colOff>29831</xdr:colOff>
      <xdr:row>51</xdr:row>
      <xdr:rowOff>39059</xdr:rowOff>
    </xdr:from>
    <xdr:to>
      <xdr:col>34</xdr:col>
      <xdr:colOff>729237</xdr:colOff>
      <xdr:row>77</xdr:row>
      <xdr:rowOff>90464</xdr:rowOff>
    </xdr:to>
    <xdr:graphicFrame macro="">
      <xdr:nvGraphicFramePr>
        <xdr:cNvPr id="59" name="Chart 58">
          <a:extLst>
            <a:ext uri="{FF2B5EF4-FFF2-40B4-BE49-F238E27FC236}">
              <a16:creationId xmlns:a16="http://schemas.microsoft.com/office/drawing/2014/main" id="{00000000-0008-0000-04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19</xdr:col>
      <xdr:colOff>29936</xdr:colOff>
      <xdr:row>50</xdr:row>
      <xdr:rowOff>44223</xdr:rowOff>
    </xdr:from>
    <xdr:to>
      <xdr:col>25</xdr:col>
      <xdr:colOff>771525</xdr:colOff>
      <xdr:row>73</xdr:row>
      <xdr:rowOff>85725</xdr:rowOff>
    </xdr:to>
    <xdr:graphicFrame macro="">
      <xdr:nvGraphicFramePr>
        <xdr:cNvPr id="60" name="Chart 59">
          <a:extLst>
            <a:ext uri="{FF2B5EF4-FFF2-40B4-BE49-F238E27FC236}">
              <a16:creationId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19</xdr:col>
      <xdr:colOff>14969</xdr:colOff>
      <xdr:row>220</xdr:row>
      <xdr:rowOff>35380</xdr:rowOff>
    </xdr:from>
    <xdr:to>
      <xdr:col>26</xdr:col>
      <xdr:colOff>0</xdr:colOff>
      <xdr:row>243</xdr:row>
      <xdr:rowOff>66676</xdr:rowOff>
    </xdr:to>
    <xdr:graphicFrame macro="">
      <xdr:nvGraphicFramePr>
        <xdr:cNvPr id="58" name="Chart 57">
          <a:extLst>
            <a:ext uri="{FF2B5EF4-FFF2-40B4-BE49-F238E27FC236}">
              <a16:creationId xmlns:a16="http://schemas.microsoft.com/office/drawing/2014/main" id="{00000000-0008-0000-0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37</xdr:col>
      <xdr:colOff>104776</xdr:colOff>
      <xdr:row>83</xdr:row>
      <xdr:rowOff>57150</xdr:rowOff>
    </xdr:from>
    <xdr:to>
      <xdr:col>43</xdr:col>
      <xdr:colOff>657226</xdr:colOff>
      <xdr:row>105</xdr:row>
      <xdr:rowOff>38100</xdr:rowOff>
    </xdr:to>
    <xdr:graphicFrame macro="">
      <xdr:nvGraphicFramePr>
        <xdr:cNvPr id="61" name="Chart 60">
          <a:extLst>
            <a:ext uri="{FF2B5EF4-FFF2-40B4-BE49-F238E27FC236}">
              <a16:creationId xmlns:a16="http://schemas.microsoft.com/office/drawing/2014/main"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37192</xdr:colOff>
      <xdr:row>15</xdr:row>
      <xdr:rowOff>35381</xdr:rowOff>
    </xdr:from>
    <xdr:to>
      <xdr:col>7</xdr:col>
      <xdr:colOff>770164</xdr:colOff>
      <xdr:row>38</xdr:row>
      <xdr:rowOff>129269</xdr:rowOff>
    </xdr:to>
    <xdr:graphicFrame macro="">
      <xdr:nvGraphicFramePr>
        <xdr:cNvPr id="71" name="Chart 70">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123144</xdr:colOff>
      <xdr:row>492</xdr:row>
      <xdr:rowOff>78239</xdr:rowOff>
    </xdr:from>
    <xdr:to>
      <xdr:col>25</xdr:col>
      <xdr:colOff>752475</xdr:colOff>
      <xdr:row>514</xdr:row>
      <xdr:rowOff>104775</xdr:rowOff>
    </xdr:to>
    <xdr:graphicFrame macro="">
      <xdr:nvGraphicFramePr>
        <xdr:cNvPr id="74" name="Chart 73">
          <a:extLst>
            <a:ext uri="{FF2B5EF4-FFF2-40B4-BE49-F238E27FC236}">
              <a16:creationId xmlns:a16="http://schemas.microsoft.com/office/drawing/2014/main" id="{D783C0BC-2EF5-4E4E-B696-4A9EBBA8F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65314</xdr:colOff>
      <xdr:row>119</xdr:row>
      <xdr:rowOff>66540</xdr:rowOff>
    </xdr:from>
    <xdr:to>
      <xdr:col>34</xdr:col>
      <xdr:colOff>762000</xdr:colOff>
      <xdr:row>141</xdr:row>
      <xdr:rowOff>175260</xdr:rowOff>
    </xdr:to>
    <xdr:graphicFrame macro="">
      <xdr:nvGraphicFramePr>
        <xdr:cNvPr id="41" name="Chart 40">
          <a:extLst>
            <a:ext uri="{FF2B5EF4-FFF2-40B4-BE49-F238E27FC236}">
              <a16:creationId xmlns:a16="http://schemas.microsoft.com/office/drawing/2014/main" id="{A3E4B300-660D-4802-BAB5-CC9915155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52387</xdr:colOff>
      <xdr:row>48</xdr:row>
      <xdr:rowOff>38100</xdr:rowOff>
    </xdr:from>
    <xdr:to>
      <xdr:col>7</xdr:col>
      <xdr:colOff>785359</xdr:colOff>
      <xdr:row>71</xdr:row>
      <xdr:rowOff>131988</xdr:rowOff>
    </xdr:to>
    <xdr:graphicFrame macro="">
      <xdr:nvGraphicFramePr>
        <xdr:cNvPr id="35" name="Chart 34">
          <a:extLst>
            <a:ext uri="{FF2B5EF4-FFF2-40B4-BE49-F238E27FC236}">
              <a16:creationId xmlns:a16="http://schemas.microsoft.com/office/drawing/2014/main" id="{76B81A62-BE0B-4428-89F9-7689695CC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57150</xdr:colOff>
      <xdr:row>150</xdr:row>
      <xdr:rowOff>61913</xdr:rowOff>
    </xdr:from>
    <xdr:to>
      <xdr:col>26</xdr:col>
      <xdr:colOff>23131</xdr:colOff>
      <xdr:row>173</xdr:row>
      <xdr:rowOff>140833</xdr:rowOff>
    </xdr:to>
    <xdr:graphicFrame macro="">
      <xdr:nvGraphicFramePr>
        <xdr:cNvPr id="36" name="Chart 35">
          <a:extLst>
            <a:ext uri="{FF2B5EF4-FFF2-40B4-BE49-F238E27FC236}">
              <a16:creationId xmlns:a16="http://schemas.microsoft.com/office/drawing/2014/main" id="{69B1404C-1CD5-47F7-8394-1D2FB6EC4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19</xdr:col>
      <xdr:colOff>14288</xdr:colOff>
      <xdr:row>185</xdr:row>
      <xdr:rowOff>95250</xdr:rowOff>
    </xdr:from>
    <xdr:to>
      <xdr:col>25</xdr:col>
      <xdr:colOff>813706</xdr:colOff>
      <xdr:row>208</xdr:row>
      <xdr:rowOff>174170</xdr:rowOff>
    </xdr:to>
    <xdr:graphicFrame macro="">
      <xdr:nvGraphicFramePr>
        <xdr:cNvPr id="38" name="Chart 37">
          <a:extLst>
            <a:ext uri="{FF2B5EF4-FFF2-40B4-BE49-F238E27FC236}">
              <a16:creationId xmlns:a16="http://schemas.microsoft.com/office/drawing/2014/main" id="{1645720E-3485-46DA-B56A-E84C6D43E8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5"/>
  <sheetViews>
    <sheetView topLeftCell="A10" zoomScaleNormal="100" zoomScaleSheetLayoutView="85" workbookViewId="0">
      <selection activeCell="C15" sqref="C15:E15"/>
    </sheetView>
  </sheetViews>
  <sheetFormatPr defaultColWidth="8.85546875" defaultRowHeight="15" x14ac:dyDescent="0.25"/>
  <cols>
    <col min="1" max="1" width="14.85546875" customWidth="1"/>
    <col min="2" max="2" width="18.140625" customWidth="1"/>
    <col min="3" max="3" width="11.28515625" customWidth="1"/>
    <col min="4" max="4" width="19.42578125" customWidth="1"/>
    <col min="6" max="6" width="3.28515625" customWidth="1"/>
    <col min="9" max="11" width="13.7109375" customWidth="1"/>
    <col min="12" max="12" width="10.140625" customWidth="1"/>
    <col min="13" max="13" width="3.7109375" customWidth="1"/>
  </cols>
  <sheetData>
    <row r="1" spans="1:24" x14ac:dyDescent="0.25">
      <c r="A1" s="193" t="s">
        <v>399</v>
      </c>
      <c r="B1" s="193"/>
      <c r="C1" s="193"/>
    </row>
    <row r="2" spans="1:24" x14ac:dyDescent="0.25">
      <c r="A2" s="193" t="s">
        <v>173</v>
      </c>
      <c r="B2" s="193"/>
      <c r="C2" s="219">
        <v>44183</v>
      </c>
    </row>
    <row r="3" spans="1:24" ht="9.9499999999999993" customHeight="1" x14ac:dyDescent="0.25">
      <c r="C3" s="219"/>
    </row>
    <row r="4" spans="1:24" ht="17.25" x14ac:dyDescent="0.3">
      <c r="A4" s="17" t="s">
        <v>82</v>
      </c>
      <c r="N4" t="s">
        <v>121</v>
      </c>
    </row>
    <row r="5" spans="1:24" x14ac:dyDescent="0.25">
      <c r="A5" t="s">
        <v>83</v>
      </c>
      <c r="B5" s="333"/>
      <c r="C5" s="333"/>
      <c r="D5" s="333"/>
      <c r="N5" s="321"/>
      <c r="O5" s="321"/>
      <c r="P5" s="321"/>
      <c r="Q5" s="321"/>
      <c r="R5" s="321"/>
      <c r="S5" s="321"/>
      <c r="T5" s="321"/>
      <c r="U5" s="321"/>
      <c r="V5" s="321"/>
      <c r="W5" s="321"/>
      <c r="X5" s="321"/>
    </row>
    <row r="6" spans="1:24" ht="9.9499999999999993" customHeight="1" thickBot="1" x14ac:dyDescent="0.3">
      <c r="N6" s="321"/>
      <c r="O6" s="321"/>
      <c r="P6" s="321"/>
      <c r="Q6" s="321"/>
      <c r="R6" s="321"/>
      <c r="S6" s="321"/>
      <c r="T6" s="321"/>
      <c r="U6" s="321"/>
      <c r="V6" s="321"/>
      <c r="W6" s="321"/>
      <c r="X6" s="321"/>
    </row>
    <row r="7" spans="1:24" x14ac:dyDescent="0.25">
      <c r="A7" s="322" t="s">
        <v>202</v>
      </c>
      <c r="B7" s="323"/>
      <c r="C7" s="323"/>
      <c r="D7" s="323"/>
      <c r="E7" s="324"/>
      <c r="G7" s="322" t="s">
        <v>229</v>
      </c>
      <c r="H7" s="323"/>
      <c r="I7" s="323"/>
      <c r="J7" s="323"/>
      <c r="K7" s="323"/>
      <c r="L7" s="324"/>
      <c r="N7" s="321"/>
      <c r="O7" s="321"/>
      <c r="P7" s="321"/>
      <c r="Q7" s="321"/>
      <c r="R7" s="321"/>
      <c r="S7" s="321"/>
      <c r="T7" s="321"/>
      <c r="U7" s="321"/>
      <c r="V7" s="321"/>
      <c r="W7" s="321"/>
      <c r="X7" s="321"/>
    </row>
    <row r="8" spans="1:24" ht="14.45" customHeight="1" thickBot="1" x14ac:dyDescent="0.3">
      <c r="A8" s="325"/>
      <c r="B8" s="326"/>
      <c r="C8" s="326"/>
      <c r="D8" s="326"/>
      <c r="E8" s="327"/>
      <c r="G8" s="328"/>
      <c r="H8" s="329"/>
      <c r="I8" s="329"/>
      <c r="J8" s="329"/>
      <c r="K8" s="329"/>
      <c r="L8" s="330"/>
      <c r="N8" s="321"/>
      <c r="O8" s="321"/>
      <c r="P8" s="321"/>
      <c r="Q8" s="321"/>
      <c r="R8" s="321"/>
      <c r="S8" s="321"/>
      <c r="T8" s="321"/>
      <c r="U8" s="321"/>
      <c r="V8" s="321"/>
      <c r="W8" s="321"/>
      <c r="X8" s="321"/>
    </row>
    <row r="9" spans="1:24" ht="15" customHeight="1" x14ac:dyDescent="0.25">
      <c r="A9" s="216" t="s">
        <v>140</v>
      </c>
      <c r="B9" s="499"/>
      <c r="C9" s="500"/>
      <c r="D9" s="500"/>
      <c r="E9" s="501"/>
      <c r="G9" s="110"/>
      <c r="H9" s="239"/>
      <c r="I9" s="239"/>
      <c r="J9" s="239"/>
      <c r="K9" s="239"/>
      <c r="L9" s="111"/>
      <c r="N9" s="321"/>
      <c r="O9" s="321"/>
      <c r="P9" s="321"/>
      <c r="Q9" s="321"/>
      <c r="R9" s="321"/>
      <c r="S9" s="321"/>
      <c r="T9" s="321"/>
      <c r="U9" s="321"/>
      <c r="V9" s="321"/>
      <c r="W9" s="321"/>
      <c r="X9" s="321"/>
    </row>
    <row r="10" spans="1:24" ht="15" customHeight="1" x14ac:dyDescent="0.25">
      <c r="A10" s="217" t="s">
        <v>281</v>
      </c>
      <c r="B10" s="502"/>
      <c r="C10" s="503"/>
      <c r="D10" s="503"/>
      <c r="E10" s="504"/>
      <c r="G10" s="110"/>
      <c r="H10" s="239"/>
      <c r="I10" s="239"/>
      <c r="J10" s="239"/>
      <c r="K10" s="239"/>
      <c r="L10" s="111"/>
      <c r="N10" s="321"/>
      <c r="O10" s="321"/>
      <c r="P10" s="321"/>
      <c r="Q10" s="321"/>
      <c r="R10" s="321"/>
      <c r="S10" s="321"/>
      <c r="T10" s="321"/>
      <c r="U10" s="321"/>
      <c r="V10" s="321"/>
      <c r="W10" s="321"/>
      <c r="X10" s="321"/>
    </row>
    <row r="11" spans="1:24" x14ac:dyDescent="0.25">
      <c r="A11" s="218" t="s">
        <v>122</v>
      </c>
      <c r="B11" s="505"/>
      <c r="C11" s="506"/>
      <c r="D11" s="506"/>
      <c r="E11" s="507"/>
      <c r="G11" s="110"/>
      <c r="H11" s="239"/>
      <c r="I11" s="239"/>
      <c r="J11" s="239"/>
      <c r="K11" s="239"/>
      <c r="L11" s="111"/>
      <c r="N11" s="321"/>
      <c r="O11" s="321"/>
      <c r="P11" s="321"/>
      <c r="Q11" s="321"/>
      <c r="R11" s="321"/>
      <c r="S11" s="321"/>
      <c r="T11" s="321"/>
      <c r="U11" s="321"/>
      <c r="V11" s="321"/>
      <c r="W11" s="321"/>
      <c r="X11" s="321"/>
    </row>
    <row r="12" spans="1:24" x14ac:dyDescent="0.25">
      <c r="A12" s="152" t="s">
        <v>238</v>
      </c>
      <c r="B12" s="505"/>
      <c r="C12" s="506"/>
      <c r="D12" s="506"/>
      <c r="E12" s="507"/>
      <c r="G12" s="110"/>
      <c r="H12" s="239"/>
      <c r="I12" s="239"/>
      <c r="J12" s="239"/>
      <c r="K12" s="239"/>
      <c r="L12" s="111"/>
      <c r="N12" s="321"/>
      <c r="O12" s="321"/>
      <c r="P12" s="321"/>
      <c r="Q12" s="321"/>
      <c r="R12" s="321"/>
      <c r="S12" s="321"/>
      <c r="T12" s="321"/>
      <c r="U12" s="321"/>
      <c r="V12" s="321"/>
      <c r="W12" s="321"/>
      <c r="X12" s="321"/>
    </row>
    <row r="13" spans="1:24" x14ac:dyDescent="0.25">
      <c r="A13" s="152" t="s">
        <v>239</v>
      </c>
      <c r="B13" s="505"/>
      <c r="C13" s="506"/>
      <c r="D13" s="506"/>
      <c r="E13" s="507"/>
      <c r="G13" s="110"/>
      <c r="H13" s="239"/>
      <c r="I13" s="239"/>
      <c r="J13" s="239"/>
      <c r="K13" s="239"/>
      <c r="L13" s="111"/>
      <c r="N13" s="321"/>
      <c r="O13" s="321"/>
      <c r="P13" s="321"/>
      <c r="Q13" s="321"/>
      <c r="R13" s="321"/>
      <c r="S13" s="321"/>
      <c r="T13" s="321"/>
      <c r="U13" s="321"/>
      <c r="V13" s="321"/>
      <c r="W13" s="321"/>
      <c r="X13" s="321"/>
    </row>
    <row r="14" spans="1:24" x14ac:dyDescent="0.25">
      <c r="A14" s="152" t="s">
        <v>240</v>
      </c>
      <c r="B14" s="502"/>
      <c r="C14" s="503"/>
      <c r="D14" s="503"/>
      <c r="E14" s="504"/>
      <c r="G14" s="110"/>
      <c r="H14" s="239"/>
      <c r="I14" s="239"/>
      <c r="J14" s="239"/>
      <c r="K14" s="239"/>
      <c r="L14" s="111"/>
      <c r="N14" s="321"/>
      <c r="O14" s="321"/>
      <c r="P14" s="321"/>
      <c r="Q14" s="321"/>
      <c r="R14" s="321"/>
      <c r="S14" s="321"/>
      <c r="T14" s="321"/>
      <c r="U14" s="321"/>
      <c r="V14" s="321"/>
      <c r="W14" s="321"/>
      <c r="X14" s="321"/>
    </row>
    <row r="15" spans="1:24" x14ac:dyDescent="0.25">
      <c r="A15" s="331" t="s">
        <v>236</v>
      </c>
      <c r="B15" s="332"/>
      <c r="C15" s="505"/>
      <c r="D15" s="506"/>
      <c r="E15" s="507"/>
      <c r="G15" s="110"/>
      <c r="H15" s="239"/>
      <c r="I15" s="239"/>
      <c r="J15" s="239"/>
      <c r="K15" s="239"/>
      <c r="L15" s="111"/>
      <c r="N15" s="321"/>
      <c r="O15" s="321"/>
      <c r="P15" s="321"/>
      <c r="Q15" s="321"/>
      <c r="R15" s="321"/>
      <c r="S15" s="321"/>
      <c r="T15" s="321"/>
      <c r="U15" s="321"/>
      <c r="V15" s="321"/>
      <c r="W15" s="321"/>
      <c r="X15" s="321"/>
    </row>
    <row r="16" spans="1:24" x14ac:dyDescent="0.25">
      <c r="A16" s="331" t="s">
        <v>237</v>
      </c>
      <c r="B16" s="332"/>
      <c r="C16" s="505"/>
      <c r="D16" s="506"/>
      <c r="E16" s="507"/>
      <c r="G16" s="110"/>
      <c r="H16" s="239"/>
      <c r="I16" s="239"/>
      <c r="J16" s="239"/>
      <c r="K16" s="239"/>
      <c r="L16" s="111"/>
      <c r="N16" s="321"/>
      <c r="O16" s="321"/>
      <c r="P16" s="321"/>
      <c r="Q16" s="321"/>
      <c r="R16" s="321"/>
      <c r="S16" s="321"/>
      <c r="T16" s="321"/>
      <c r="U16" s="321"/>
      <c r="V16" s="321"/>
      <c r="W16" s="321"/>
      <c r="X16" s="321"/>
    </row>
    <row r="17" spans="1:24" x14ac:dyDescent="0.25">
      <c r="A17" s="110"/>
      <c r="E17" s="111"/>
      <c r="G17" s="110"/>
      <c r="H17" s="239"/>
      <c r="I17" s="239"/>
      <c r="J17" s="239"/>
      <c r="K17" s="239"/>
      <c r="L17" s="111"/>
      <c r="N17" s="321"/>
      <c r="O17" s="321"/>
      <c r="P17" s="321"/>
      <c r="Q17" s="321"/>
      <c r="R17" s="321"/>
      <c r="S17" s="321"/>
      <c r="T17" s="321"/>
      <c r="U17" s="321"/>
      <c r="V17" s="321"/>
      <c r="W17" s="321"/>
      <c r="X17" s="321"/>
    </row>
    <row r="18" spans="1:24" x14ac:dyDescent="0.25">
      <c r="A18" s="110"/>
      <c r="E18" s="111"/>
      <c r="G18" s="110"/>
      <c r="H18" s="239"/>
      <c r="I18" s="239"/>
      <c r="J18" s="239"/>
      <c r="K18" s="239"/>
      <c r="L18" s="111"/>
      <c r="N18" s="321"/>
      <c r="O18" s="321"/>
      <c r="P18" s="321"/>
      <c r="Q18" s="321"/>
      <c r="R18" s="321"/>
      <c r="S18" s="321"/>
      <c r="T18" s="321"/>
      <c r="U18" s="321"/>
      <c r="V18" s="321"/>
      <c r="W18" s="321"/>
      <c r="X18" s="321"/>
    </row>
    <row r="19" spans="1:24" x14ac:dyDescent="0.25">
      <c r="A19" s="110"/>
      <c r="E19" s="111"/>
      <c r="G19" s="110"/>
      <c r="H19" s="239"/>
      <c r="I19" s="239"/>
      <c r="J19" s="239"/>
      <c r="K19" s="239"/>
      <c r="L19" s="111"/>
      <c r="N19" s="321"/>
      <c r="O19" s="321"/>
      <c r="P19" s="321"/>
      <c r="Q19" s="321"/>
      <c r="R19" s="321"/>
      <c r="S19" s="321"/>
      <c r="T19" s="321"/>
      <c r="U19" s="321"/>
      <c r="V19" s="321"/>
      <c r="W19" s="321"/>
      <c r="X19" s="321"/>
    </row>
    <row r="20" spans="1:24" x14ac:dyDescent="0.25">
      <c r="A20" s="110"/>
      <c r="E20" s="111"/>
      <c r="G20" s="110"/>
      <c r="H20" s="239"/>
      <c r="I20" s="239"/>
      <c r="J20" s="239"/>
      <c r="K20" s="239"/>
      <c r="L20" s="111"/>
      <c r="N20" s="321"/>
      <c r="O20" s="321"/>
      <c r="P20" s="321"/>
      <c r="Q20" s="321"/>
      <c r="R20" s="321"/>
      <c r="S20" s="321"/>
      <c r="T20" s="321"/>
      <c r="U20" s="321"/>
      <c r="V20" s="321"/>
      <c r="W20" s="321"/>
      <c r="X20" s="321"/>
    </row>
    <row r="21" spans="1:24" x14ac:dyDescent="0.25">
      <c r="A21" s="110"/>
      <c r="E21" s="111"/>
      <c r="G21" s="110"/>
      <c r="H21" s="239"/>
      <c r="I21" s="239"/>
      <c r="J21" s="239"/>
      <c r="K21" s="239"/>
      <c r="L21" s="111"/>
      <c r="N21" s="321"/>
      <c r="O21" s="321"/>
      <c r="P21" s="321"/>
      <c r="Q21" s="321"/>
      <c r="R21" s="321"/>
      <c r="S21" s="321"/>
      <c r="T21" s="321"/>
      <c r="U21" s="321"/>
      <c r="V21" s="321"/>
      <c r="W21" s="321"/>
      <c r="X21" s="321"/>
    </row>
    <row r="22" spans="1:24" ht="14.45" customHeight="1" x14ac:dyDescent="0.25">
      <c r="A22" s="110"/>
      <c r="E22" s="111"/>
      <c r="G22" s="110"/>
      <c r="H22" s="239"/>
      <c r="I22" s="239"/>
      <c r="J22" s="239"/>
      <c r="K22" s="239"/>
      <c r="L22" s="111"/>
      <c r="N22" s="321"/>
      <c r="O22" s="321"/>
      <c r="P22" s="321"/>
      <c r="Q22" s="321"/>
      <c r="R22" s="321"/>
      <c r="S22" s="321"/>
      <c r="T22" s="321"/>
      <c r="U22" s="321"/>
      <c r="V22" s="321"/>
      <c r="W22" s="321"/>
      <c r="X22" s="321"/>
    </row>
    <row r="23" spans="1:24" ht="15" customHeight="1" x14ac:dyDescent="0.25">
      <c r="A23" s="110"/>
      <c r="E23" s="111"/>
      <c r="G23" s="110"/>
      <c r="H23" s="239"/>
      <c r="I23" s="239"/>
      <c r="J23" s="239"/>
      <c r="K23" s="239"/>
      <c r="L23" s="111"/>
      <c r="N23" s="321"/>
      <c r="O23" s="321"/>
      <c r="P23" s="321"/>
      <c r="Q23" s="321"/>
      <c r="R23" s="321"/>
      <c r="S23" s="321"/>
      <c r="T23" s="321"/>
      <c r="U23" s="321"/>
      <c r="V23" s="321"/>
      <c r="W23" s="321"/>
      <c r="X23" s="321"/>
    </row>
    <row r="24" spans="1:24" x14ac:dyDescent="0.25">
      <c r="A24" s="110"/>
      <c r="E24" s="111"/>
      <c r="G24" s="110"/>
      <c r="H24" s="239"/>
      <c r="I24" s="239"/>
      <c r="J24" s="239"/>
      <c r="K24" s="239"/>
      <c r="L24" s="111"/>
      <c r="N24" s="321"/>
      <c r="O24" s="321"/>
      <c r="P24" s="321"/>
      <c r="Q24" s="321"/>
      <c r="R24" s="321"/>
      <c r="S24" s="321"/>
      <c r="T24" s="321"/>
      <c r="U24" s="321"/>
      <c r="V24" s="321"/>
      <c r="W24" s="321"/>
      <c r="X24" s="321"/>
    </row>
    <row r="25" spans="1:24" x14ac:dyDescent="0.25">
      <c r="A25" s="110"/>
      <c r="E25" s="111"/>
      <c r="G25" s="110"/>
      <c r="H25" s="239"/>
      <c r="I25" s="239"/>
      <c r="J25" s="239"/>
      <c r="K25" s="239"/>
      <c r="L25" s="111"/>
      <c r="N25" s="321"/>
      <c r="O25" s="321"/>
      <c r="P25" s="321"/>
      <c r="Q25" s="321"/>
      <c r="R25" s="321"/>
      <c r="S25" s="321"/>
      <c r="T25" s="321"/>
      <c r="U25" s="321"/>
      <c r="V25" s="321"/>
      <c r="W25" s="321"/>
      <c r="X25" s="321"/>
    </row>
    <row r="26" spans="1:24" x14ac:dyDescent="0.25">
      <c r="A26" s="110"/>
      <c r="E26" s="111"/>
      <c r="G26" s="110"/>
      <c r="H26" s="239"/>
      <c r="I26" s="239"/>
      <c r="J26" s="239"/>
      <c r="K26" s="239"/>
      <c r="L26" s="111"/>
      <c r="N26" s="321"/>
      <c r="O26" s="321"/>
      <c r="P26" s="321"/>
      <c r="Q26" s="321"/>
      <c r="R26" s="321"/>
      <c r="S26" s="321"/>
      <c r="T26" s="321"/>
      <c r="U26" s="321"/>
      <c r="V26" s="321"/>
      <c r="W26" s="321"/>
      <c r="X26" s="321"/>
    </row>
    <row r="27" spans="1:24" x14ac:dyDescent="0.25">
      <c r="A27" s="110"/>
      <c r="E27" s="111"/>
      <c r="G27" s="110"/>
      <c r="H27" s="239"/>
      <c r="I27" s="239"/>
      <c r="J27" s="239"/>
      <c r="K27" s="239"/>
      <c r="L27" s="111"/>
      <c r="N27" s="321"/>
      <c r="O27" s="321"/>
      <c r="P27" s="321"/>
      <c r="Q27" s="321"/>
      <c r="R27" s="321"/>
      <c r="S27" s="321"/>
      <c r="T27" s="321"/>
      <c r="U27" s="321"/>
      <c r="V27" s="321"/>
      <c r="W27" s="321"/>
      <c r="X27" s="321"/>
    </row>
    <row r="28" spans="1:24" x14ac:dyDescent="0.25">
      <c r="A28" s="110"/>
      <c r="E28" s="111"/>
      <c r="G28" s="110"/>
      <c r="H28" s="239"/>
      <c r="I28" s="239"/>
      <c r="J28" s="239"/>
      <c r="K28" s="239"/>
      <c r="L28" s="111"/>
      <c r="N28" s="321"/>
      <c r="O28" s="321"/>
      <c r="P28" s="321"/>
      <c r="Q28" s="321"/>
      <c r="R28" s="321"/>
      <c r="S28" s="321"/>
      <c r="T28" s="321"/>
      <c r="U28" s="321"/>
      <c r="V28" s="321"/>
      <c r="W28" s="321"/>
      <c r="X28" s="321"/>
    </row>
    <row r="29" spans="1:24" ht="15.75" x14ac:dyDescent="0.25">
      <c r="A29" s="153" t="s">
        <v>264</v>
      </c>
      <c r="B29" s="154"/>
      <c r="C29" s="334"/>
      <c r="D29" s="335"/>
      <c r="E29" s="111"/>
      <c r="G29" s="110"/>
      <c r="H29" s="239"/>
      <c r="I29" s="239"/>
      <c r="J29" s="239"/>
      <c r="K29" s="239"/>
      <c r="L29" s="111"/>
      <c r="N29" s="321"/>
      <c r="O29" s="321"/>
      <c r="P29" s="321"/>
      <c r="Q29" s="321"/>
      <c r="R29" s="321"/>
      <c r="S29" s="321"/>
      <c r="T29" s="321"/>
      <c r="U29" s="321"/>
      <c r="V29" s="321"/>
      <c r="W29" s="321"/>
      <c r="X29" s="321"/>
    </row>
    <row r="30" spans="1:24" ht="14.45" customHeight="1" x14ac:dyDescent="0.25">
      <c r="A30" s="156"/>
      <c r="B30" s="157"/>
      <c r="C30" s="157"/>
      <c r="D30" s="157"/>
      <c r="E30" s="158"/>
      <c r="G30" s="110"/>
      <c r="H30" s="239"/>
      <c r="I30" s="239"/>
      <c r="J30" s="239"/>
      <c r="K30" s="239"/>
      <c r="L30" s="111"/>
      <c r="N30" s="321"/>
      <c r="O30" s="321"/>
      <c r="P30" s="321"/>
      <c r="Q30" s="321"/>
      <c r="R30" s="321"/>
      <c r="S30" s="321"/>
      <c r="T30" s="321"/>
      <c r="U30" s="321"/>
      <c r="V30" s="321"/>
      <c r="W30" s="321"/>
      <c r="X30" s="321"/>
    </row>
    <row r="31" spans="1:24" x14ac:dyDescent="0.25">
      <c r="A31" s="156"/>
      <c r="B31" s="157"/>
      <c r="C31" s="157"/>
      <c r="D31" s="157"/>
      <c r="E31" s="158"/>
      <c r="G31" s="110"/>
      <c r="H31" s="239"/>
      <c r="I31" s="239"/>
      <c r="J31" s="239"/>
      <c r="K31" s="239"/>
      <c r="L31" s="111"/>
      <c r="N31" s="321"/>
      <c r="O31" s="321"/>
      <c r="P31" s="321"/>
      <c r="Q31" s="321"/>
      <c r="R31" s="321"/>
      <c r="S31" s="321"/>
      <c r="T31" s="321"/>
      <c r="U31" s="321"/>
      <c r="V31" s="321"/>
      <c r="W31" s="321"/>
      <c r="X31" s="321"/>
    </row>
    <row r="32" spans="1:24" x14ac:dyDescent="0.25">
      <c r="A32" s="156"/>
      <c r="B32" s="157"/>
      <c r="C32" s="157"/>
      <c r="D32" s="157"/>
      <c r="E32" s="158"/>
      <c r="G32" s="110"/>
      <c r="H32" s="239"/>
      <c r="I32" s="239"/>
      <c r="J32" s="239"/>
      <c r="K32" s="239"/>
      <c r="L32" s="111"/>
      <c r="N32" s="321"/>
      <c r="O32" s="321"/>
      <c r="P32" s="321"/>
      <c r="Q32" s="321"/>
      <c r="R32" s="321"/>
      <c r="S32" s="321"/>
      <c r="T32" s="321"/>
      <c r="U32" s="321"/>
      <c r="V32" s="321"/>
      <c r="W32" s="321"/>
      <c r="X32" s="321"/>
    </row>
    <row r="33" spans="1:24" ht="14.45" customHeight="1" x14ac:dyDescent="0.25">
      <c r="A33" s="156"/>
      <c r="B33" s="157"/>
      <c r="C33" s="157"/>
      <c r="D33" s="157"/>
      <c r="E33" s="158"/>
      <c r="G33" s="110"/>
      <c r="H33" s="239"/>
      <c r="I33" s="239"/>
      <c r="J33" s="239"/>
      <c r="K33" s="239"/>
      <c r="L33" s="111"/>
      <c r="N33" s="321"/>
      <c r="O33" s="321"/>
      <c r="P33" s="321"/>
      <c r="Q33" s="321"/>
      <c r="R33" s="321"/>
      <c r="S33" s="321"/>
      <c r="T33" s="321"/>
      <c r="U33" s="321"/>
      <c r="V33" s="321"/>
      <c r="W33" s="321"/>
      <c r="X33" s="321"/>
    </row>
    <row r="34" spans="1:24" x14ac:dyDescent="0.25">
      <c r="A34" s="156"/>
      <c r="B34" s="157"/>
      <c r="C34" s="157"/>
      <c r="D34" s="157"/>
      <c r="E34" s="158"/>
      <c r="G34" s="110"/>
      <c r="H34" s="239"/>
      <c r="I34" s="239"/>
      <c r="J34" s="239"/>
      <c r="K34" s="239"/>
      <c r="L34" s="111"/>
      <c r="N34" s="321"/>
      <c r="O34" s="321"/>
      <c r="P34" s="321"/>
      <c r="Q34" s="321"/>
      <c r="R34" s="321"/>
      <c r="S34" s="321"/>
      <c r="T34" s="321"/>
      <c r="U34" s="321"/>
      <c r="V34" s="321"/>
      <c r="W34" s="321"/>
      <c r="X34" s="321"/>
    </row>
    <row r="35" spans="1:24" ht="15" customHeight="1" x14ac:dyDescent="0.25">
      <c r="A35" s="110"/>
      <c r="E35" s="111"/>
      <c r="G35" s="110"/>
      <c r="H35" s="239"/>
      <c r="I35" s="239"/>
      <c r="J35" s="239"/>
      <c r="K35" s="239"/>
      <c r="L35" s="111"/>
      <c r="N35" s="321"/>
      <c r="O35" s="321"/>
      <c r="P35" s="321"/>
      <c r="Q35" s="321"/>
      <c r="R35" s="321"/>
      <c r="S35" s="321"/>
      <c r="T35" s="321"/>
      <c r="U35" s="321"/>
      <c r="V35" s="321"/>
      <c r="W35" s="321"/>
      <c r="X35" s="321"/>
    </row>
    <row r="36" spans="1:24" x14ac:dyDescent="0.25">
      <c r="A36" s="110"/>
      <c r="E36" s="111"/>
      <c r="G36" s="110"/>
      <c r="H36" s="239"/>
      <c r="I36" s="239"/>
      <c r="J36" s="239"/>
      <c r="K36" s="239"/>
      <c r="L36" s="111"/>
      <c r="N36" s="321"/>
      <c r="O36" s="321"/>
      <c r="P36" s="321"/>
      <c r="Q36" s="321"/>
      <c r="R36" s="321"/>
      <c r="S36" s="321"/>
      <c r="T36" s="321"/>
      <c r="U36" s="321"/>
      <c r="V36" s="321"/>
      <c r="W36" s="321"/>
      <c r="X36" s="321"/>
    </row>
    <row r="37" spans="1:24" x14ac:dyDescent="0.25">
      <c r="A37" s="110"/>
      <c r="E37" s="111"/>
      <c r="G37" s="110"/>
      <c r="H37" s="239"/>
      <c r="I37" s="239"/>
      <c r="J37" s="239"/>
      <c r="K37" s="239"/>
      <c r="L37" s="111"/>
      <c r="N37" s="321"/>
      <c r="O37" s="321"/>
      <c r="P37" s="321"/>
      <c r="Q37" s="321"/>
      <c r="R37" s="321"/>
      <c r="S37" s="321"/>
      <c r="T37" s="321"/>
      <c r="U37" s="321"/>
      <c r="V37" s="321"/>
      <c r="W37" s="321"/>
      <c r="X37" s="321"/>
    </row>
    <row r="38" spans="1:24" x14ac:dyDescent="0.25">
      <c r="A38" s="110"/>
      <c r="E38" s="111"/>
      <c r="G38" s="110"/>
      <c r="H38" s="239"/>
      <c r="I38" s="239"/>
      <c r="J38" s="239"/>
      <c r="K38" s="239"/>
      <c r="L38" s="111"/>
      <c r="N38" s="321"/>
      <c r="O38" s="321"/>
      <c r="P38" s="321"/>
      <c r="Q38" s="321"/>
      <c r="R38" s="321"/>
      <c r="S38" s="321"/>
      <c r="T38" s="321"/>
      <c r="U38" s="321"/>
      <c r="V38" s="321"/>
      <c r="W38" s="321"/>
      <c r="X38" s="321"/>
    </row>
    <row r="39" spans="1:24" x14ac:dyDescent="0.25">
      <c r="A39" s="110"/>
      <c r="E39" s="111"/>
      <c r="G39" s="110"/>
      <c r="H39" s="239"/>
      <c r="I39" s="239"/>
      <c r="J39" s="239"/>
      <c r="K39" s="239"/>
      <c r="L39" s="111"/>
      <c r="N39" s="321"/>
      <c r="O39" s="321"/>
      <c r="P39" s="321"/>
      <c r="Q39" s="321"/>
      <c r="R39" s="321"/>
      <c r="S39" s="321"/>
      <c r="T39" s="321"/>
      <c r="U39" s="321"/>
      <c r="V39" s="321"/>
      <c r="W39" s="321"/>
      <c r="X39" s="321"/>
    </row>
    <row r="40" spans="1:24" x14ac:dyDescent="0.25">
      <c r="A40" s="110"/>
      <c r="E40" s="111"/>
      <c r="G40" s="110"/>
      <c r="H40" s="239"/>
      <c r="I40" s="239"/>
      <c r="J40" s="239"/>
      <c r="K40" s="239"/>
      <c r="L40" s="111"/>
      <c r="N40" s="321"/>
      <c r="O40" s="321"/>
      <c r="P40" s="321"/>
      <c r="Q40" s="321"/>
      <c r="R40" s="321"/>
      <c r="S40" s="321"/>
      <c r="T40" s="321"/>
      <c r="U40" s="321"/>
      <c r="V40" s="321"/>
      <c r="W40" s="321"/>
      <c r="X40" s="321"/>
    </row>
    <row r="41" spans="1:24" x14ac:dyDescent="0.25">
      <c r="A41" s="110"/>
      <c r="E41" s="111"/>
      <c r="G41" s="110"/>
      <c r="H41" s="239"/>
      <c r="I41" s="239"/>
      <c r="J41" s="239"/>
      <c r="K41" s="239"/>
      <c r="L41" s="111"/>
      <c r="N41" s="321"/>
      <c r="O41" s="321"/>
      <c r="P41" s="321"/>
      <c r="Q41" s="321"/>
      <c r="R41" s="321"/>
      <c r="S41" s="321"/>
      <c r="T41" s="321"/>
      <c r="U41" s="321"/>
      <c r="V41" s="321"/>
      <c r="W41" s="321"/>
      <c r="X41" s="321"/>
    </row>
    <row r="42" spans="1:24" x14ac:dyDescent="0.25">
      <c r="A42" s="110"/>
      <c r="E42" s="111"/>
      <c r="G42" s="110"/>
      <c r="H42" s="239"/>
      <c r="I42" s="239"/>
      <c r="J42" s="239"/>
      <c r="K42" s="239"/>
      <c r="L42" s="111"/>
      <c r="N42" s="321"/>
      <c r="O42" s="321"/>
      <c r="P42" s="321"/>
      <c r="Q42" s="321"/>
      <c r="R42" s="321"/>
      <c r="S42" s="321"/>
      <c r="T42" s="321"/>
      <c r="U42" s="321"/>
      <c r="V42" s="321"/>
      <c r="W42" s="321"/>
      <c r="X42" s="321"/>
    </row>
    <row r="43" spans="1:24" x14ac:dyDescent="0.25">
      <c r="A43" s="110"/>
      <c r="E43" s="111"/>
      <c r="G43" s="110"/>
      <c r="H43" s="239"/>
      <c r="I43" s="239"/>
      <c r="J43" s="239"/>
      <c r="K43" s="239"/>
      <c r="L43" s="111"/>
      <c r="N43" s="321"/>
      <c r="O43" s="321"/>
      <c r="P43" s="321"/>
      <c r="Q43" s="321"/>
      <c r="R43" s="321"/>
      <c r="S43" s="321"/>
      <c r="T43" s="321"/>
      <c r="U43" s="321"/>
      <c r="V43" s="321"/>
      <c r="W43" s="321"/>
      <c r="X43" s="321"/>
    </row>
    <row r="44" spans="1:24" ht="15.75" thickBot="1" x14ac:dyDescent="0.3">
      <c r="A44" s="134"/>
      <c r="B44" s="135"/>
      <c r="C44" s="135"/>
      <c r="D44" s="135"/>
      <c r="E44" s="136"/>
      <c r="G44" s="134"/>
      <c r="H44" s="135"/>
      <c r="I44" s="135"/>
      <c r="J44" s="135"/>
      <c r="K44" s="135"/>
      <c r="L44" s="136"/>
      <c r="N44" s="321"/>
      <c r="O44" s="321"/>
      <c r="P44" s="321"/>
      <c r="Q44" s="321"/>
      <c r="R44" s="321"/>
      <c r="S44" s="321"/>
      <c r="T44" s="321"/>
      <c r="U44" s="321"/>
      <c r="V44" s="321"/>
      <c r="W44" s="321"/>
      <c r="X44" s="321"/>
    </row>
    <row r="53" spans="1:8" x14ac:dyDescent="0.25">
      <c r="A53" s="194" t="s">
        <v>230</v>
      </c>
      <c r="B53" s="193"/>
      <c r="C53" s="193"/>
      <c r="D53" s="193"/>
      <c r="E53" s="193"/>
      <c r="F53" s="193"/>
      <c r="G53" s="193"/>
    </row>
    <row r="54" spans="1:8" x14ac:dyDescent="0.25">
      <c r="A54" s="194" t="s">
        <v>233</v>
      </c>
      <c r="B54" s="193" t="s">
        <v>331</v>
      </c>
      <c r="C54" s="193"/>
      <c r="D54" s="193"/>
      <c r="E54" s="193"/>
      <c r="F54" s="193"/>
      <c r="G54" s="193"/>
      <c r="H54" s="193"/>
    </row>
    <row r="55" spans="1:8" x14ac:dyDescent="0.25">
      <c r="A55" s="194" t="s">
        <v>231</v>
      </c>
      <c r="B55" s="193"/>
      <c r="C55" s="193"/>
      <c r="D55" s="193"/>
      <c r="E55" s="193"/>
      <c r="F55" s="193"/>
      <c r="G55" s="193"/>
      <c r="H55" s="193"/>
    </row>
    <row r="56" spans="1:8" s="193" customFormat="1" x14ac:dyDescent="0.25">
      <c r="B56" s="193" t="s">
        <v>395</v>
      </c>
    </row>
    <row r="57" spans="1:8" s="193" customFormat="1" x14ac:dyDescent="0.25">
      <c r="B57" s="193" t="s">
        <v>396</v>
      </c>
    </row>
    <row r="58" spans="1:8" s="193" customFormat="1" x14ac:dyDescent="0.25">
      <c r="B58" s="193" t="s">
        <v>358</v>
      </c>
    </row>
    <row r="59" spans="1:8" s="193" customFormat="1" x14ac:dyDescent="0.25">
      <c r="B59" s="193" t="s">
        <v>357</v>
      </c>
    </row>
    <row r="60" spans="1:8" s="193" customFormat="1" x14ac:dyDescent="0.25">
      <c r="B60" s="193" t="s">
        <v>397</v>
      </c>
    </row>
    <row r="61" spans="1:8" s="193" customFormat="1" x14ac:dyDescent="0.25">
      <c r="B61" s="193" t="s">
        <v>359</v>
      </c>
    </row>
    <row r="62" spans="1:8" s="193" customFormat="1" x14ac:dyDescent="0.25">
      <c r="B62" s="193" t="s">
        <v>398</v>
      </c>
    </row>
    <row r="63" spans="1:8" x14ac:dyDescent="0.25">
      <c r="A63" s="2" t="s">
        <v>232</v>
      </c>
    </row>
    <row r="64" spans="1:8" x14ac:dyDescent="0.25">
      <c r="A64" t="s">
        <v>234</v>
      </c>
    </row>
    <row r="65" spans="1:1" x14ac:dyDescent="0.25">
      <c r="A65" t="s">
        <v>235</v>
      </c>
    </row>
  </sheetData>
  <mergeCells count="15">
    <mergeCell ref="N5:X44"/>
    <mergeCell ref="B9:E9"/>
    <mergeCell ref="B11:E11"/>
    <mergeCell ref="B12:E12"/>
    <mergeCell ref="B13:E13"/>
    <mergeCell ref="B14:E14"/>
    <mergeCell ref="A7:E8"/>
    <mergeCell ref="G7:L8"/>
    <mergeCell ref="C15:E15"/>
    <mergeCell ref="C16:E16"/>
    <mergeCell ref="A15:B15"/>
    <mergeCell ref="A16:B16"/>
    <mergeCell ref="B5:D5"/>
    <mergeCell ref="B10:E10"/>
    <mergeCell ref="C29:D29"/>
  </mergeCells>
  <conditionalFormatting sqref="A9:A11">
    <cfRule type="beginsWith" dxfId="1748" priority="1" stopIfTrue="1" operator="beginsWith" text="Functioning At Risk">
      <formula>LEFT(A9,LEN("Functioning At Risk"))="Functioning At Risk"</formula>
    </cfRule>
    <cfRule type="beginsWith" dxfId="1747" priority="2" stopIfTrue="1" operator="beginsWith" text="Not Functioning">
      <formula>LEFT(A9,LEN("Not Functioning"))="Not Functioning"</formula>
    </cfRule>
    <cfRule type="containsText" dxfId="1746" priority="3" operator="containsText" text="Functioning">
      <formula>NOT(ISERROR(SEARCH("Functioning",A9)))</formula>
    </cfRule>
  </conditionalFormatting>
  <pageMargins left="0.7" right="0.7" top="0.75" bottom="0.75" header="0.3" footer="0.3"/>
  <pageSetup scale="80" fitToWidth="0" orientation="landscape" r:id="rId1"/>
  <headerFooter>
    <oddFooter>&amp;LMiSQT v1
Project Assessment</oddFooter>
  </headerFooter>
  <colBreaks count="1" manualBreakCount="1">
    <brk id="1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'Pull Down Notes'!$B$91:$B$97</xm:f>
          </x14:formula1>
          <xm:sqref>B5</xm:sqref>
        </x14:dataValidation>
        <x14:dataValidation type="list" allowBlank="1" showErrorMessage="1" xr:uid="{00000000-0002-0000-0000-000001000000}">
          <x14:formula1>
            <xm:f>'Pull Down Notes'!$B$11:$B$23</xm:f>
          </x14:formula1>
          <xm:sqref>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2"/>
  <sheetViews>
    <sheetView zoomScaleNormal="100" zoomScaleSheetLayoutView="100" workbookViewId="0">
      <selection activeCell="G8" sqref="G8"/>
    </sheetView>
  </sheetViews>
  <sheetFormatPr defaultColWidth="6.5703125" defaultRowHeight="12.75" x14ac:dyDescent="0.2"/>
  <cols>
    <col min="1" max="1" width="1.85546875" style="18" customWidth="1"/>
    <col min="2" max="2" width="4" style="18" customWidth="1"/>
    <col min="3" max="3" width="28.140625" style="18" customWidth="1"/>
    <col min="4" max="4" width="33.7109375" style="18" customWidth="1"/>
    <col min="5" max="5" width="35" style="18" customWidth="1"/>
    <col min="6" max="6" width="40" style="18" customWidth="1"/>
    <col min="7" max="7" width="10.5703125" style="18" customWidth="1"/>
    <col min="8" max="8" width="1.85546875" style="18" customWidth="1"/>
    <col min="9" max="9" width="18" style="18" customWidth="1"/>
    <col min="10" max="10" width="24.5703125" style="18" customWidth="1"/>
    <col min="11" max="11" width="17.85546875" style="18" customWidth="1"/>
    <col min="12" max="16384" width="6.5703125" style="18"/>
  </cols>
  <sheetData>
    <row r="1" spans="1:8" ht="16.5" thickBot="1" x14ac:dyDescent="0.3">
      <c r="A1" s="278"/>
      <c r="B1" s="336" t="s">
        <v>360</v>
      </c>
      <c r="C1" s="336"/>
      <c r="D1" s="279"/>
      <c r="E1" s="280"/>
      <c r="F1" s="280"/>
    </row>
    <row r="2" spans="1:8" ht="18.75" thickBot="1" x14ac:dyDescent="0.25">
      <c r="B2" s="347" t="s">
        <v>215</v>
      </c>
      <c r="C2" s="348"/>
      <c r="D2" s="277"/>
      <c r="E2" s="349" t="s">
        <v>205</v>
      </c>
      <c r="F2" s="350"/>
    </row>
    <row r="3" spans="1:8" ht="18.75" thickBot="1" x14ac:dyDescent="0.25">
      <c r="B3" s="347" t="s">
        <v>381</v>
      </c>
      <c r="C3" s="348"/>
      <c r="D3" s="277"/>
      <c r="E3" s="349"/>
      <c r="F3" s="350"/>
    </row>
    <row r="4" spans="1:8" s="273" customFormat="1" ht="7.5" customHeight="1" thickBot="1" x14ac:dyDescent="0.25">
      <c r="B4" s="276"/>
      <c r="C4" s="276"/>
      <c r="D4" s="272"/>
      <c r="E4" s="274"/>
      <c r="F4" s="275"/>
    </row>
    <row r="5" spans="1:8" ht="25.5" customHeight="1" thickTop="1" x14ac:dyDescent="0.2">
      <c r="A5" s="343" t="s">
        <v>73</v>
      </c>
      <c r="B5" s="344"/>
      <c r="C5" s="344"/>
      <c r="D5" s="344"/>
      <c r="E5" s="344"/>
      <c r="F5" s="344"/>
      <c r="G5" s="345"/>
      <c r="H5" s="346"/>
    </row>
    <row r="6" spans="1:8" ht="15.75" customHeight="1" x14ac:dyDescent="0.2">
      <c r="A6" s="14"/>
      <c r="B6" s="337" t="s">
        <v>74</v>
      </c>
      <c r="C6" s="338"/>
      <c r="D6" s="341" t="s">
        <v>75</v>
      </c>
      <c r="E6" s="341"/>
      <c r="F6" s="342"/>
      <c r="G6" s="337" t="s">
        <v>161</v>
      </c>
      <c r="H6" s="15"/>
    </row>
    <row r="7" spans="1:8" ht="16.5" thickBot="1" x14ac:dyDescent="0.25">
      <c r="A7" s="14"/>
      <c r="B7" s="339"/>
      <c r="C7" s="340"/>
      <c r="D7" s="28" t="s">
        <v>158</v>
      </c>
      <c r="E7" s="28" t="s">
        <v>159</v>
      </c>
      <c r="F7" s="27" t="s">
        <v>160</v>
      </c>
      <c r="G7" s="339"/>
      <c r="H7" s="15"/>
    </row>
    <row r="8" spans="1:8" ht="55.5" customHeight="1" thickBot="1" x14ac:dyDescent="0.25">
      <c r="A8" s="19"/>
      <c r="B8" s="22">
        <v>1</v>
      </c>
      <c r="C8" s="144" t="s">
        <v>100</v>
      </c>
      <c r="D8" s="145" t="s">
        <v>301</v>
      </c>
      <c r="E8" s="145" t="s">
        <v>302</v>
      </c>
      <c r="F8" s="146" t="s">
        <v>303</v>
      </c>
      <c r="G8" s="31"/>
      <c r="H8" s="20"/>
    </row>
    <row r="9" spans="1:8" ht="18.75" customHeight="1" thickBot="1" x14ac:dyDescent="0.25">
      <c r="A9" s="19"/>
      <c r="B9" s="22">
        <v>2</v>
      </c>
      <c r="C9" s="144" t="s">
        <v>101</v>
      </c>
      <c r="D9" s="145" t="s">
        <v>170</v>
      </c>
      <c r="E9" s="145" t="s">
        <v>171</v>
      </c>
      <c r="F9" s="146" t="s">
        <v>172</v>
      </c>
      <c r="G9" s="21"/>
      <c r="H9" s="20"/>
    </row>
    <row r="10" spans="1:8" ht="28.5" customHeight="1" thickBot="1" x14ac:dyDescent="0.25">
      <c r="A10" s="19"/>
      <c r="B10" s="22">
        <v>3</v>
      </c>
      <c r="C10" s="144" t="s">
        <v>102</v>
      </c>
      <c r="D10" s="145" t="s">
        <v>76</v>
      </c>
      <c r="E10" s="145" t="s">
        <v>77</v>
      </c>
      <c r="F10" s="146" t="s">
        <v>78</v>
      </c>
      <c r="G10" s="29"/>
      <c r="H10" s="20"/>
    </row>
    <row r="11" spans="1:8" ht="53.25" customHeight="1" thickBot="1" x14ac:dyDescent="0.25">
      <c r="A11" s="19"/>
      <c r="B11" s="22">
        <v>4</v>
      </c>
      <c r="C11" s="144" t="s">
        <v>103</v>
      </c>
      <c r="D11" s="145" t="s">
        <v>274</v>
      </c>
      <c r="E11" s="145" t="s">
        <v>275</v>
      </c>
      <c r="F11" s="146" t="s">
        <v>276</v>
      </c>
      <c r="G11" s="21"/>
      <c r="H11" s="20"/>
    </row>
    <row r="12" spans="1:8" ht="25.35" customHeight="1" thickBot="1" x14ac:dyDescent="0.25">
      <c r="A12" s="19"/>
      <c r="B12" s="22">
        <v>5</v>
      </c>
      <c r="C12" s="144" t="s">
        <v>204</v>
      </c>
      <c r="D12" s="145" t="s">
        <v>270</v>
      </c>
      <c r="E12" s="145" t="s">
        <v>79</v>
      </c>
      <c r="F12" s="146" t="s">
        <v>271</v>
      </c>
      <c r="G12" s="29"/>
      <c r="H12" s="20"/>
    </row>
    <row r="13" spans="1:8" ht="47.45" customHeight="1" thickBot="1" x14ac:dyDescent="0.25">
      <c r="A13" s="19"/>
      <c r="B13" s="22">
        <v>6</v>
      </c>
      <c r="C13" s="144" t="s">
        <v>216</v>
      </c>
      <c r="D13" s="145" t="s">
        <v>289</v>
      </c>
      <c r="E13" s="145" t="s">
        <v>290</v>
      </c>
      <c r="F13" s="146" t="s">
        <v>291</v>
      </c>
      <c r="G13" s="21"/>
      <c r="H13" s="20"/>
    </row>
    <row r="14" spans="1:8" ht="30" customHeight="1" thickBot="1" x14ac:dyDescent="0.25">
      <c r="A14" s="19"/>
      <c r="B14" s="162">
        <v>7</v>
      </c>
      <c r="C14" s="147" t="s">
        <v>104</v>
      </c>
      <c r="D14" s="148" t="s">
        <v>294</v>
      </c>
      <c r="E14" s="148" t="s">
        <v>293</v>
      </c>
      <c r="F14" s="148" t="s">
        <v>292</v>
      </c>
      <c r="G14" s="30"/>
      <c r="H14" s="20"/>
    </row>
    <row r="15" spans="1:8" ht="32.25" customHeight="1" thickBot="1" x14ac:dyDescent="0.25">
      <c r="A15" s="19"/>
      <c r="B15" s="174">
        <v>8</v>
      </c>
      <c r="C15" s="175" t="s">
        <v>105</v>
      </c>
      <c r="D15" s="176" t="s">
        <v>295</v>
      </c>
      <c r="E15" s="176" t="s">
        <v>296</v>
      </c>
      <c r="F15" s="177" t="s">
        <v>297</v>
      </c>
      <c r="G15" s="31"/>
      <c r="H15" s="20"/>
    </row>
    <row r="16" spans="1:8" ht="82.5" customHeight="1" thickBot="1" x14ac:dyDescent="0.25">
      <c r="A16" s="19"/>
      <c r="B16" s="22">
        <v>9</v>
      </c>
      <c r="C16" s="144" t="s">
        <v>286</v>
      </c>
      <c r="D16" s="145" t="s">
        <v>300</v>
      </c>
      <c r="E16" s="145" t="s">
        <v>299</v>
      </c>
      <c r="F16" s="146" t="s">
        <v>298</v>
      </c>
      <c r="G16" s="21"/>
      <c r="H16" s="20"/>
    </row>
    <row r="17" spans="1:8" ht="53.1" customHeight="1" thickBot="1" x14ac:dyDescent="0.25">
      <c r="A17" s="19"/>
      <c r="B17" s="162">
        <v>10</v>
      </c>
      <c r="C17" s="147" t="s">
        <v>107</v>
      </c>
      <c r="D17" s="148" t="s">
        <v>162</v>
      </c>
      <c r="E17" s="148" t="s">
        <v>90</v>
      </c>
      <c r="F17" s="163" t="s">
        <v>91</v>
      </c>
      <c r="G17" s="29"/>
      <c r="H17" s="20"/>
    </row>
    <row r="18" spans="1:8" ht="72.75" customHeight="1" thickBot="1" x14ac:dyDescent="0.25">
      <c r="A18" s="19"/>
      <c r="B18" s="162">
        <v>11</v>
      </c>
      <c r="C18" s="147" t="s">
        <v>250</v>
      </c>
      <c r="D18" s="148" t="s">
        <v>218</v>
      </c>
      <c r="E18" s="148" t="s">
        <v>219</v>
      </c>
      <c r="F18" s="163" t="s">
        <v>220</v>
      </c>
      <c r="G18" s="29"/>
      <c r="H18" s="20"/>
    </row>
    <row r="19" spans="1:8" ht="43.5" customHeight="1" thickBot="1" x14ac:dyDescent="0.25">
      <c r="A19" s="19"/>
      <c r="B19" s="22">
        <v>12</v>
      </c>
      <c r="C19" s="144" t="s">
        <v>106</v>
      </c>
      <c r="D19" s="145" t="s">
        <v>163</v>
      </c>
      <c r="E19" s="145" t="s">
        <v>164</v>
      </c>
      <c r="F19" s="146" t="s">
        <v>165</v>
      </c>
      <c r="G19" s="29"/>
      <c r="H19" s="20"/>
    </row>
    <row r="20" spans="1:8" ht="32.25" customHeight="1" thickBot="1" x14ac:dyDescent="0.25">
      <c r="A20" s="19"/>
      <c r="B20" s="22">
        <v>13</v>
      </c>
      <c r="C20" s="147" t="s">
        <v>81</v>
      </c>
      <c r="D20" s="148"/>
      <c r="E20" s="148"/>
      <c r="F20" s="148"/>
      <c r="G20" s="29"/>
      <c r="H20" s="20"/>
    </row>
    <row r="21" spans="1:8" ht="6" customHeight="1" thickBot="1" x14ac:dyDescent="0.25">
      <c r="A21" s="23"/>
      <c r="B21" s="16"/>
      <c r="C21" s="24"/>
      <c r="D21" s="24"/>
      <c r="E21" s="24"/>
      <c r="F21" s="24"/>
      <c r="G21" s="24"/>
      <c r="H21" s="25"/>
    </row>
    <row r="22" spans="1:8" ht="13.5" thickTop="1" x14ac:dyDescent="0.2">
      <c r="A22" s="180" t="s">
        <v>288</v>
      </c>
    </row>
  </sheetData>
  <mergeCells count="8">
    <mergeCell ref="B1:C1"/>
    <mergeCell ref="B6:C7"/>
    <mergeCell ref="D6:F6"/>
    <mergeCell ref="G6:G7"/>
    <mergeCell ref="A5:H5"/>
    <mergeCell ref="B2:C2"/>
    <mergeCell ref="E2:F3"/>
    <mergeCell ref="B3:C3"/>
  </mergeCells>
  <dataValidations count="2">
    <dataValidation type="list" allowBlank="1" showInputMessage="1" showErrorMessage="1" sqref="D2" xr:uid="{00000000-0002-0000-0100-000000000000}">
      <formula1>CatchmentAssessment</formula1>
    </dataValidation>
    <dataValidation type="list" allowBlank="1" showInputMessage="1" showErrorMessage="1" sqref="D3" xr:uid="{0ACE49B1-BEBE-48B7-9DCD-490D4B4F4AB8}">
      <formula1>Level</formula1>
    </dataValidation>
  </dataValidations>
  <printOptions horizontalCentered="1" verticalCentered="1"/>
  <pageMargins left="0.95" right="0.95" top="0.5" bottom="0.5" header="0.3" footer="0.3"/>
  <pageSetup scale="75" fitToHeight="0" orientation="landscape" r:id="rId1"/>
  <headerFooter>
    <oddHeader>&amp;C&amp;"-,Bold"&amp;14CATCHMENT ASSESSMENT FORM</oddHeader>
    <oddFooter>&amp;L&amp;12MiSQT v1
Catchment Assessment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6"/>
  <sheetViews>
    <sheetView view="pageLayout" topLeftCell="A2" zoomScaleNormal="100" zoomScaleSheetLayoutView="100" workbookViewId="0">
      <selection activeCell="B9" sqref="B9"/>
    </sheetView>
  </sheetViews>
  <sheetFormatPr defaultRowHeight="15" x14ac:dyDescent="0.25"/>
  <cols>
    <col min="1" max="1" width="15.85546875" customWidth="1"/>
    <col min="2" max="2" width="24.42578125" customWidth="1"/>
    <col min="3" max="3" width="81.7109375" customWidth="1"/>
  </cols>
  <sheetData>
    <row r="1" spans="1:3" ht="60.75" customHeight="1" x14ac:dyDescent="0.25">
      <c r="A1" s="358" t="s">
        <v>402</v>
      </c>
      <c r="B1" s="358"/>
      <c r="C1" s="358"/>
    </row>
    <row r="2" spans="1:3" ht="8.25" customHeight="1" x14ac:dyDescent="0.25"/>
    <row r="3" spans="1:3" ht="30" x14ac:dyDescent="0.25">
      <c r="A3" s="320" t="s">
        <v>1</v>
      </c>
      <c r="B3" s="320" t="s">
        <v>2</v>
      </c>
      <c r="C3" s="43" t="s">
        <v>134</v>
      </c>
    </row>
    <row r="4" spans="1:3" x14ac:dyDescent="0.25">
      <c r="A4" s="318" t="s">
        <v>62</v>
      </c>
      <c r="B4" s="32" t="s">
        <v>168</v>
      </c>
      <c r="C4" s="171" t="s">
        <v>285</v>
      </c>
    </row>
    <row r="5" spans="1:3" ht="30" x14ac:dyDescent="0.25">
      <c r="A5" s="42" t="s">
        <v>6</v>
      </c>
      <c r="B5" s="42" t="s">
        <v>7</v>
      </c>
      <c r="C5" s="173" t="s">
        <v>400</v>
      </c>
    </row>
    <row r="6" spans="1:3" x14ac:dyDescent="0.25">
      <c r="A6" s="351" t="s">
        <v>27</v>
      </c>
      <c r="B6" s="33" t="s">
        <v>28</v>
      </c>
      <c r="C6" s="171" t="s">
        <v>285</v>
      </c>
    </row>
    <row r="7" spans="1:3" ht="33.75" customHeight="1" x14ac:dyDescent="0.25">
      <c r="A7" s="352"/>
      <c r="B7" s="40" t="s">
        <v>241</v>
      </c>
      <c r="C7" s="319" t="s">
        <v>401</v>
      </c>
    </row>
    <row r="8" spans="1:3" ht="45" x14ac:dyDescent="0.25">
      <c r="A8" s="352"/>
      <c r="B8" s="41" t="s">
        <v>52</v>
      </c>
      <c r="C8" s="173" t="s">
        <v>403</v>
      </c>
    </row>
    <row r="9" spans="1:3" ht="60" x14ac:dyDescent="0.25">
      <c r="A9" s="352"/>
      <c r="B9" s="33" t="s">
        <v>53</v>
      </c>
      <c r="C9" s="173" t="s">
        <v>404</v>
      </c>
    </row>
    <row r="10" spans="1:3" x14ac:dyDescent="0.25">
      <c r="A10" s="353" t="s">
        <v>59</v>
      </c>
      <c r="B10" s="38" t="s">
        <v>94</v>
      </c>
      <c r="C10" s="172" t="s">
        <v>384</v>
      </c>
    </row>
    <row r="11" spans="1:3" ht="30" x14ac:dyDescent="0.25">
      <c r="A11" s="354"/>
      <c r="B11" s="34" t="s">
        <v>109</v>
      </c>
      <c r="C11" s="172" t="s">
        <v>282</v>
      </c>
    </row>
    <row r="12" spans="1:3" ht="30" x14ac:dyDescent="0.25">
      <c r="A12" s="354"/>
      <c r="B12" s="34" t="s">
        <v>246</v>
      </c>
      <c r="C12" s="173" t="s">
        <v>284</v>
      </c>
    </row>
    <row r="13" spans="1:3" ht="30" x14ac:dyDescent="0.25">
      <c r="A13" s="355"/>
      <c r="B13" s="35" t="s">
        <v>247</v>
      </c>
      <c r="C13" s="172" t="s">
        <v>282</v>
      </c>
    </row>
    <row r="14" spans="1:3" ht="30" x14ac:dyDescent="0.25">
      <c r="A14" s="356" t="s">
        <v>60</v>
      </c>
      <c r="B14" s="44" t="s">
        <v>249</v>
      </c>
      <c r="C14" s="172" t="s">
        <v>283</v>
      </c>
    </row>
    <row r="15" spans="1:3" ht="45" x14ac:dyDescent="0.25">
      <c r="A15" s="357"/>
      <c r="B15" s="39" t="s">
        <v>84</v>
      </c>
      <c r="C15" s="172" t="s">
        <v>405</v>
      </c>
    </row>
    <row r="16" spans="1:3" x14ac:dyDescent="0.25">
      <c r="A16" s="133" t="s">
        <v>406</v>
      </c>
    </row>
  </sheetData>
  <mergeCells count="4">
    <mergeCell ref="A6:A9"/>
    <mergeCell ref="A10:A13"/>
    <mergeCell ref="A14:A15"/>
    <mergeCell ref="A1:C1"/>
  </mergeCells>
  <conditionalFormatting sqref="A3:B3 A14:B14 A5:B6 B15 B11:B13 B8:B9">
    <cfRule type="beginsWith" dxfId="1745" priority="10" stopIfTrue="1" operator="beginsWith" text="Functioning At Risk">
      <formula>LEFT(A3,LEN("Functioning At Risk"))="Functioning At Risk"</formula>
    </cfRule>
    <cfRule type="beginsWith" dxfId="1744" priority="11" stopIfTrue="1" operator="beginsWith" text="Not Functioning">
      <formula>LEFT(A3,LEN("Not Functioning"))="Not Functioning"</formula>
    </cfRule>
    <cfRule type="containsText" dxfId="1743" priority="12" operator="containsText" text="Functioning">
      <formula>NOT(ISERROR(SEARCH("Functioning",A3)))</formula>
    </cfRule>
  </conditionalFormatting>
  <conditionalFormatting sqref="B7">
    <cfRule type="beginsWith" dxfId="1742" priority="7" stopIfTrue="1" operator="beginsWith" text="Functioning At Risk">
      <formula>LEFT(B7,LEN("Functioning At Risk"))="Functioning At Risk"</formula>
    </cfRule>
    <cfRule type="beginsWith" dxfId="1741" priority="8" stopIfTrue="1" operator="beginsWith" text="Not Functioning">
      <formula>LEFT(B7,LEN("Not Functioning"))="Not Functioning"</formula>
    </cfRule>
    <cfRule type="containsText" dxfId="1740" priority="9" operator="containsText" text="Functioning">
      <formula>NOT(ISERROR(SEARCH("Functioning",B7)))</formula>
    </cfRule>
  </conditionalFormatting>
  <conditionalFormatting sqref="B10">
    <cfRule type="beginsWith" dxfId="1739" priority="4" stopIfTrue="1" operator="beginsWith" text="Functioning At Risk">
      <formula>LEFT(B10,LEN("Functioning At Risk"))="Functioning At Risk"</formula>
    </cfRule>
    <cfRule type="beginsWith" dxfId="1738" priority="5" stopIfTrue="1" operator="beginsWith" text="Not Functioning">
      <formula>LEFT(B10,LEN("Not Functioning"))="Not Functioning"</formula>
    </cfRule>
    <cfRule type="containsText" dxfId="1737" priority="6" operator="containsText" text="Functioning">
      <formula>NOT(ISERROR(SEARCH("Functioning",B10)))</formula>
    </cfRule>
  </conditionalFormatting>
  <conditionalFormatting sqref="A10">
    <cfRule type="beginsWith" dxfId="1736" priority="1" stopIfTrue="1" operator="beginsWith" text="Functioning At Risk">
      <formula>LEFT(A10,LEN("Functioning At Risk"))="Functioning At Risk"</formula>
    </cfRule>
    <cfRule type="beginsWith" dxfId="1735" priority="2" stopIfTrue="1" operator="beginsWith" text="Not Functioning">
      <formula>LEFT(A10,LEN("Not Functioning"))="Not Functioning"</formula>
    </cfRule>
    <cfRule type="containsText" dxfId="1734" priority="3" operator="containsText" text="Functioning">
      <formula>NOT(ISERROR(SEARCH("Functioning",A10)))</formula>
    </cfRule>
  </conditionalFormatting>
  <pageMargins left="0.7" right="0.7" top="0.75" bottom="0.75" header="0.3" footer="0.3"/>
  <pageSetup fitToWidth="0" fitToHeight="0" orientation="landscape" r:id="rId1"/>
  <headerFooter>
    <oddHeader>&amp;C&amp;"-,Bold"&amp;14PARAMETER SELECTION GUIDE</oddHeader>
    <oddFooter>&amp;LMiSQT v1
Parameter Selection Guide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52"/>
  <sheetViews>
    <sheetView tabSelected="1" zoomScaleNormal="100" zoomScaleSheetLayoutView="100" workbookViewId="0">
      <selection activeCell="C5" sqref="C5"/>
    </sheetView>
  </sheetViews>
  <sheetFormatPr defaultRowHeight="15" x14ac:dyDescent="0.25"/>
  <cols>
    <col min="1" max="1" width="33.28515625" customWidth="1"/>
    <col min="2" max="2" width="30.5703125" customWidth="1"/>
    <col min="3" max="4" width="23" customWidth="1"/>
    <col min="5" max="5" width="17.5703125" customWidth="1"/>
    <col min="6" max="10" width="14.140625" customWidth="1"/>
    <col min="11" max="11" width="8.28515625" customWidth="1"/>
    <col min="12" max="12" width="18.5703125" customWidth="1"/>
    <col min="13" max="13" width="13.7109375" customWidth="1"/>
  </cols>
  <sheetData>
    <row r="1" spans="1:11" ht="21" x14ac:dyDescent="0.35">
      <c r="A1" s="430" t="s">
        <v>345</v>
      </c>
      <c r="B1" s="431"/>
      <c r="D1" s="383" t="s">
        <v>68</v>
      </c>
      <c r="E1" s="384"/>
      <c r="F1" s="384"/>
      <c r="G1" s="384"/>
      <c r="H1" s="384"/>
      <c r="I1" s="384"/>
      <c r="J1" s="385"/>
    </row>
    <row r="2" spans="1:11" ht="15.75" x14ac:dyDescent="0.25">
      <c r="A2" s="432"/>
      <c r="B2" s="433"/>
      <c r="D2" s="508" t="s">
        <v>69</v>
      </c>
      <c r="E2" s="509"/>
      <c r="F2" s="509"/>
      <c r="G2" s="509"/>
      <c r="H2" s="509"/>
      <c r="I2" s="509"/>
      <c r="J2" s="510"/>
    </row>
    <row r="3" spans="1:11" ht="18.600000000000001" customHeight="1" x14ac:dyDescent="0.25">
      <c r="A3" s="249" t="s">
        <v>140</v>
      </c>
      <c r="B3" s="301">
        <f>'Project Assessment'!B9</f>
        <v>0</v>
      </c>
      <c r="D3" s="425" t="s">
        <v>179</v>
      </c>
      <c r="E3" s="426"/>
      <c r="F3" s="426"/>
      <c r="G3" s="426"/>
      <c r="H3" s="426"/>
      <c r="I3" s="426"/>
      <c r="J3" s="427"/>
    </row>
    <row r="4" spans="1:11" ht="18.600000000000001" customHeight="1" x14ac:dyDescent="0.25">
      <c r="A4" s="249" t="s">
        <v>122</v>
      </c>
      <c r="B4" s="301">
        <f>'Project Assessment'!B11</f>
        <v>0</v>
      </c>
      <c r="D4" s="437" t="s">
        <v>377</v>
      </c>
      <c r="E4" s="438"/>
      <c r="F4" s="438"/>
      <c r="G4" s="438"/>
      <c r="H4" s="438"/>
      <c r="I4" s="438"/>
      <c r="J4" s="439"/>
    </row>
    <row r="5" spans="1:11" ht="18.600000000000001" customHeight="1" x14ac:dyDescent="0.25">
      <c r="A5" s="249" t="s">
        <v>58</v>
      </c>
      <c r="B5" s="301">
        <f>'Catchment Assessment'!D3</f>
        <v>0</v>
      </c>
    </row>
    <row r="6" spans="1:11" ht="21" x14ac:dyDescent="0.35">
      <c r="A6" s="249" t="s">
        <v>66</v>
      </c>
      <c r="B6" s="247"/>
      <c r="D6" s="440" t="s">
        <v>207</v>
      </c>
      <c r="E6" s="441"/>
      <c r="F6" s="442"/>
      <c r="H6" s="383" t="s">
        <v>208</v>
      </c>
      <c r="I6" s="384"/>
      <c r="J6" s="384"/>
      <c r="K6" s="385"/>
    </row>
    <row r="7" spans="1:11" ht="18.600000000000001" customHeight="1" x14ac:dyDescent="0.35">
      <c r="A7" s="249" t="s">
        <v>65</v>
      </c>
      <c r="B7" s="247"/>
      <c r="D7" s="281" t="s">
        <v>383</v>
      </c>
      <c r="E7" s="282"/>
      <c r="F7" s="283" t="str">
        <f>IFERROR(ROUND(J40,2),"")</f>
        <v/>
      </c>
      <c r="G7" s="71"/>
      <c r="H7" s="46" t="s">
        <v>151</v>
      </c>
      <c r="I7" s="89"/>
      <c r="J7" s="90"/>
      <c r="K7" s="49">
        <f>IFERROR(ROUND(SUM(C110,C129,C149),0),"")</f>
        <v>0</v>
      </c>
    </row>
    <row r="8" spans="1:11" ht="18.600000000000001" customHeight="1" x14ac:dyDescent="0.25">
      <c r="A8" s="249" t="s">
        <v>135</v>
      </c>
      <c r="B8" s="248"/>
      <c r="D8" s="284" t="s">
        <v>149</v>
      </c>
      <c r="E8" s="285"/>
      <c r="F8" s="283" t="str">
        <f>IFERROR(ROUND(J68,2),"")</f>
        <v/>
      </c>
      <c r="G8" s="88"/>
      <c r="H8" s="46" t="s">
        <v>152</v>
      </c>
      <c r="I8" s="89"/>
      <c r="J8" s="90"/>
      <c r="K8" s="49">
        <f>IFERROR(ROUND(SUM(C111,C130,C150),0),"")</f>
        <v>0</v>
      </c>
    </row>
    <row r="9" spans="1:11" ht="18.600000000000001" customHeight="1" x14ac:dyDescent="0.25">
      <c r="A9" s="249" t="s">
        <v>287</v>
      </c>
      <c r="B9" s="248"/>
      <c r="D9" s="281" t="s">
        <v>206</v>
      </c>
      <c r="E9" s="282"/>
      <c r="F9" s="286" t="str">
        <f>IFERROR(F8-F7,"")</f>
        <v/>
      </c>
      <c r="G9" s="88"/>
      <c r="H9" s="46" t="s">
        <v>153</v>
      </c>
      <c r="I9" s="89"/>
      <c r="J9" s="90"/>
      <c r="K9" s="271">
        <f>IFERROR(K8-K7,"")</f>
        <v>0</v>
      </c>
    </row>
    <row r="10" spans="1:11" ht="18.600000000000001" customHeight="1" x14ac:dyDescent="0.25">
      <c r="A10" s="249" t="s">
        <v>190</v>
      </c>
      <c r="B10" s="248"/>
      <c r="D10" s="287" t="s">
        <v>209</v>
      </c>
      <c r="E10" s="288"/>
      <c r="F10" s="289" t="str">
        <f>IFERROR(F9/F7,"")</f>
        <v/>
      </c>
      <c r="G10" s="88"/>
    </row>
    <row r="11" spans="1:11" ht="18.600000000000001" customHeight="1" x14ac:dyDescent="0.25">
      <c r="A11" s="249" t="s">
        <v>393</v>
      </c>
      <c r="B11" s="247"/>
      <c r="D11" s="281" t="s">
        <v>70</v>
      </c>
      <c r="E11" s="282"/>
      <c r="F11" s="290" t="str">
        <f>IF(B6="","",B6)</f>
        <v/>
      </c>
      <c r="G11" s="88"/>
    </row>
    <row r="12" spans="1:11" ht="18.600000000000001" customHeight="1" x14ac:dyDescent="0.25">
      <c r="A12" s="269" t="s">
        <v>367</v>
      </c>
      <c r="B12" s="248"/>
      <c r="D12" s="281" t="s">
        <v>95</v>
      </c>
      <c r="E12" s="282"/>
      <c r="F12" s="290" t="str">
        <f>IF(B7="","",B7)</f>
        <v/>
      </c>
      <c r="G12" s="88"/>
    </row>
    <row r="13" spans="1:11" ht="21.75" customHeight="1" x14ac:dyDescent="0.35">
      <c r="A13" s="249" t="s">
        <v>26</v>
      </c>
      <c r="B13" s="248"/>
      <c r="D13" s="291" t="s">
        <v>67</v>
      </c>
      <c r="E13" s="292"/>
      <c r="F13" s="290" t="str">
        <f>IFERROR(F12-F11,"")</f>
        <v/>
      </c>
      <c r="G13" s="88"/>
      <c r="H13" s="434" t="s">
        <v>150</v>
      </c>
      <c r="I13" s="435"/>
      <c r="J13" s="435"/>
      <c r="K13" s="436"/>
    </row>
    <row r="14" spans="1:11" ht="18.600000000000001" customHeight="1" x14ac:dyDescent="0.25">
      <c r="A14" s="445" t="s">
        <v>325</v>
      </c>
      <c r="B14" s="444"/>
      <c r="D14" s="291" t="s">
        <v>210</v>
      </c>
      <c r="E14" s="292"/>
      <c r="F14" s="293" t="str">
        <f>IFERROR(ROUND(F7*F11,1),"")</f>
        <v/>
      </c>
      <c r="G14" s="87"/>
      <c r="H14" s="46" t="s">
        <v>154</v>
      </c>
      <c r="I14" s="89"/>
      <c r="J14" s="90"/>
      <c r="K14" s="49" t="str">
        <f>IFERROR(ROUND(F14+K7,0),"")</f>
        <v/>
      </c>
    </row>
    <row r="15" spans="1:11" ht="18.600000000000001" customHeight="1" x14ac:dyDescent="0.25">
      <c r="A15" s="445"/>
      <c r="B15" s="444"/>
      <c r="D15" s="294" t="s">
        <v>211</v>
      </c>
      <c r="E15" s="295"/>
      <c r="F15" s="293" t="str">
        <f>IFERROR(ROUND(F12*F8,1),"")</f>
        <v/>
      </c>
      <c r="G15" s="87"/>
      <c r="H15" s="46" t="s">
        <v>155</v>
      </c>
      <c r="I15" s="89"/>
      <c r="J15" s="90"/>
      <c r="K15" s="49" t="str">
        <f>IFERROR(ROUND(F15+K8,0),"")</f>
        <v/>
      </c>
    </row>
    <row r="16" spans="1:11" ht="18.600000000000001" customHeight="1" x14ac:dyDescent="0.25">
      <c r="A16" s="250" t="s">
        <v>394</v>
      </c>
      <c r="B16" s="248"/>
      <c r="D16" s="284" t="s">
        <v>333</v>
      </c>
      <c r="E16" s="296"/>
      <c r="F16" s="317" t="str">
        <f>IF(F14="","",IF(F15="","",_xlfn.CONCAT(ROUND(F15-F14,1)," ",LEFT(B13,1),IF(B12="First",1,IF(B12="Second",2,IF(B12="Third",3,IF(B12="Fourth or greater","4+")))))))</f>
        <v/>
      </c>
      <c r="G16" s="87"/>
      <c r="H16" s="46" t="s">
        <v>156</v>
      </c>
      <c r="I16" s="89"/>
      <c r="J16" s="90"/>
      <c r="K16" s="49" t="str">
        <f>IFERROR(K15-K14,"")</f>
        <v/>
      </c>
    </row>
    <row r="17" spans="1:11" ht="18.600000000000001" customHeight="1" x14ac:dyDescent="0.25">
      <c r="A17" s="249" t="s">
        <v>98</v>
      </c>
      <c r="B17" s="247"/>
      <c r="D17" s="281" t="s">
        <v>334</v>
      </c>
      <c r="E17" s="297"/>
      <c r="F17" s="298" t="str">
        <f>IFERROR((F15-F14)/F12,"")</f>
        <v/>
      </c>
      <c r="H17" s="446" t="s">
        <v>334</v>
      </c>
      <c r="I17" s="447"/>
      <c r="J17" s="448"/>
      <c r="K17" s="215" t="str">
        <f>IFERROR(K16/F12,"")</f>
        <v/>
      </c>
    </row>
    <row r="18" spans="1:11" ht="18.600000000000001" customHeight="1" x14ac:dyDescent="0.35">
      <c r="A18" s="249" t="s">
        <v>92</v>
      </c>
      <c r="B18" s="248"/>
      <c r="D18" s="270"/>
      <c r="E18" s="270"/>
      <c r="F18" s="270"/>
      <c r="G18" s="270"/>
      <c r="H18" s="270"/>
      <c r="I18" s="270"/>
      <c r="J18" s="270"/>
      <c r="K18" s="270"/>
    </row>
    <row r="19" spans="1:11" ht="17.25" customHeight="1" x14ac:dyDescent="0.35">
      <c r="A19" s="249" t="s">
        <v>227</v>
      </c>
      <c r="B19" s="248"/>
      <c r="D19" s="270"/>
      <c r="E19" s="270"/>
      <c r="F19" s="270"/>
      <c r="G19" s="270"/>
      <c r="H19" s="270"/>
      <c r="I19" s="270"/>
      <c r="J19" s="270"/>
      <c r="K19" s="270"/>
    </row>
    <row r="20" spans="1:11" ht="17.25" customHeight="1" x14ac:dyDescent="0.35">
      <c r="A20" s="249" t="s">
        <v>351</v>
      </c>
      <c r="B20" s="248"/>
      <c r="D20" s="236"/>
      <c r="E20" s="236"/>
      <c r="F20" s="236"/>
      <c r="G20" s="236"/>
      <c r="H20" s="236"/>
      <c r="I20" s="236"/>
      <c r="J20" s="236"/>
      <c r="K20" s="236"/>
    </row>
    <row r="21" spans="1:11" ht="17.25" customHeight="1" x14ac:dyDescent="0.25">
      <c r="H21" s="2"/>
      <c r="I21" s="2"/>
      <c r="J21" s="2"/>
      <c r="K21" s="2"/>
    </row>
    <row r="22" spans="1:11" ht="21.75" customHeight="1" x14ac:dyDescent="0.25">
      <c r="A22" s="464" t="s">
        <v>368</v>
      </c>
      <c r="B22" s="465"/>
      <c r="C22" s="465"/>
      <c r="D22" s="466"/>
      <c r="E22" s="91"/>
      <c r="F22" s="443" t="s">
        <v>136</v>
      </c>
      <c r="G22" s="443"/>
      <c r="H22" s="443"/>
      <c r="I22" s="443"/>
      <c r="J22" s="443"/>
      <c r="K22" s="443"/>
    </row>
    <row r="23" spans="1:11" ht="32.25" customHeight="1" x14ac:dyDescent="0.25">
      <c r="A23" s="235" t="s">
        <v>1</v>
      </c>
      <c r="B23" s="235" t="s">
        <v>2</v>
      </c>
      <c r="C23" s="235" t="s">
        <v>71</v>
      </c>
      <c r="D23" s="235" t="s">
        <v>72</v>
      </c>
      <c r="E23" s="92"/>
      <c r="F23" s="450" t="s">
        <v>137</v>
      </c>
      <c r="G23" s="450"/>
      <c r="H23" s="224" t="s">
        <v>138</v>
      </c>
      <c r="I23" s="224" t="s">
        <v>139</v>
      </c>
      <c r="J23" s="450" t="s">
        <v>212</v>
      </c>
      <c r="K23" s="450"/>
    </row>
    <row r="24" spans="1:11" ht="15" customHeight="1" x14ac:dyDescent="0.25">
      <c r="A24" s="195" t="s">
        <v>62</v>
      </c>
      <c r="B24" s="72" t="s">
        <v>168</v>
      </c>
      <c r="C24" s="50" t="str">
        <f>G40</f>
        <v/>
      </c>
      <c r="D24" s="50" t="str">
        <f>G68</f>
        <v/>
      </c>
      <c r="E24" s="92"/>
      <c r="F24" s="460" t="s">
        <v>62</v>
      </c>
      <c r="G24" s="460"/>
      <c r="H24" s="449" t="str">
        <f>H40</f>
        <v/>
      </c>
      <c r="I24" s="449" t="str">
        <f>H68</f>
        <v/>
      </c>
      <c r="J24" s="449" t="str">
        <f>IFERROR(ROUND(I24-H24,2),"")</f>
        <v/>
      </c>
      <c r="K24" s="449"/>
    </row>
    <row r="25" spans="1:11" ht="17.25" customHeight="1" x14ac:dyDescent="0.25">
      <c r="A25" s="121" t="s">
        <v>6</v>
      </c>
      <c r="B25" s="73" t="s">
        <v>7</v>
      </c>
      <c r="C25" s="50" t="str">
        <f>G42</f>
        <v/>
      </c>
      <c r="D25" s="50" t="str">
        <f>G70</f>
        <v/>
      </c>
      <c r="E25" s="93"/>
      <c r="F25" s="460"/>
      <c r="G25" s="460"/>
      <c r="H25" s="449"/>
      <c r="I25" s="449"/>
      <c r="J25" s="449"/>
      <c r="K25" s="449"/>
    </row>
    <row r="26" spans="1:11" ht="15.75" customHeight="1" x14ac:dyDescent="0.25">
      <c r="A26" s="452" t="s">
        <v>27</v>
      </c>
      <c r="B26" s="74" t="s">
        <v>28</v>
      </c>
      <c r="C26" s="50" t="str">
        <f>G44</f>
        <v/>
      </c>
      <c r="D26" s="50" t="str">
        <f>G72</f>
        <v/>
      </c>
      <c r="E26" s="93"/>
      <c r="F26" s="467" t="s">
        <v>6</v>
      </c>
      <c r="G26" s="467"/>
      <c r="H26" s="449" t="str">
        <f>H42</f>
        <v/>
      </c>
      <c r="I26" s="449" t="str">
        <f>H70</f>
        <v/>
      </c>
      <c r="J26" s="449" t="str">
        <f>IFERROR(ROUND(I26-H26,2),"")</f>
        <v/>
      </c>
      <c r="K26" s="449"/>
    </row>
    <row r="27" spans="1:11" ht="15.75" customHeight="1" x14ac:dyDescent="0.25">
      <c r="A27" s="453"/>
      <c r="B27" s="74" t="s">
        <v>241</v>
      </c>
      <c r="C27" s="50" t="str">
        <f>G45</f>
        <v/>
      </c>
      <c r="D27" s="50" t="str">
        <f>G73</f>
        <v/>
      </c>
      <c r="E27" s="93"/>
      <c r="F27" s="467"/>
      <c r="G27" s="467"/>
      <c r="H27" s="449"/>
      <c r="I27" s="449"/>
      <c r="J27" s="449"/>
      <c r="K27" s="449"/>
    </row>
    <row r="28" spans="1:11" ht="15.75" customHeight="1" x14ac:dyDescent="0.25">
      <c r="A28" s="453"/>
      <c r="B28" s="74" t="s">
        <v>52</v>
      </c>
      <c r="C28" s="50" t="str">
        <f>G48</f>
        <v/>
      </c>
      <c r="D28" s="50" t="str">
        <f>G76</f>
        <v/>
      </c>
      <c r="E28" s="93"/>
      <c r="F28" s="468" t="s">
        <v>27</v>
      </c>
      <c r="G28" s="468"/>
      <c r="H28" s="449" t="str">
        <f>H44</f>
        <v/>
      </c>
      <c r="I28" s="449" t="str">
        <f>H72</f>
        <v/>
      </c>
      <c r="J28" s="449" t="str">
        <f>IFERROR(ROUND(I28-H28,2),"")</f>
        <v/>
      </c>
      <c r="K28" s="449"/>
    </row>
    <row r="29" spans="1:11" ht="15.75" customHeight="1" x14ac:dyDescent="0.25">
      <c r="A29" s="454"/>
      <c r="B29" s="74" t="s">
        <v>53</v>
      </c>
      <c r="C29" s="50" t="str">
        <f>G53</f>
        <v/>
      </c>
      <c r="D29" s="50" t="str">
        <f>G81</f>
        <v/>
      </c>
      <c r="E29" s="93"/>
      <c r="F29" s="468"/>
      <c r="G29" s="468"/>
      <c r="H29" s="449"/>
      <c r="I29" s="449"/>
      <c r="J29" s="449"/>
      <c r="K29" s="449"/>
    </row>
    <row r="30" spans="1:11" ht="15.75" customHeight="1" x14ac:dyDescent="0.25">
      <c r="A30" s="455" t="s">
        <v>59</v>
      </c>
      <c r="B30" s="155" t="s">
        <v>94</v>
      </c>
      <c r="C30" s="50" t="str">
        <f>G57</f>
        <v/>
      </c>
      <c r="D30" s="50" t="str">
        <f>G85</f>
        <v/>
      </c>
      <c r="E30" s="93"/>
      <c r="F30" s="469" t="s">
        <v>59</v>
      </c>
      <c r="G30" s="469"/>
      <c r="H30" s="449" t="str">
        <f>H57</f>
        <v/>
      </c>
      <c r="I30" s="449" t="str">
        <f>H85</f>
        <v/>
      </c>
      <c r="J30" s="449" t="str">
        <f>IFERROR(ROUND(I30-H30,2),"")</f>
        <v/>
      </c>
      <c r="K30" s="449"/>
    </row>
    <row r="31" spans="1:11" ht="15.75" customHeight="1" x14ac:dyDescent="0.25">
      <c r="A31" s="456"/>
      <c r="B31" s="155" t="s">
        <v>109</v>
      </c>
      <c r="C31" s="50" t="str">
        <f>G58</f>
        <v/>
      </c>
      <c r="D31" s="50" t="str">
        <f>G86</f>
        <v/>
      </c>
      <c r="E31" s="93"/>
      <c r="F31" s="469"/>
      <c r="G31" s="469"/>
      <c r="H31" s="449"/>
      <c r="I31" s="449"/>
      <c r="J31" s="449"/>
      <c r="K31" s="449"/>
    </row>
    <row r="32" spans="1:11" ht="15.75" customHeight="1" x14ac:dyDescent="0.25">
      <c r="A32" s="456"/>
      <c r="B32" s="64" t="s">
        <v>246</v>
      </c>
      <c r="C32" s="50" t="str">
        <f>G59</f>
        <v/>
      </c>
      <c r="D32" s="50" t="str">
        <f>G87</f>
        <v/>
      </c>
      <c r="E32" s="93"/>
      <c r="F32" s="470" t="s">
        <v>60</v>
      </c>
      <c r="G32" s="470"/>
      <c r="H32" s="449" t="str">
        <f>H61</f>
        <v/>
      </c>
      <c r="I32" s="449" t="str">
        <f>H89</f>
        <v/>
      </c>
      <c r="J32" s="449" t="str">
        <f>IFERROR(I32-H32,"")</f>
        <v/>
      </c>
      <c r="K32" s="449"/>
    </row>
    <row r="33" spans="1:15" ht="15.75" customHeight="1" x14ac:dyDescent="0.25">
      <c r="A33" s="457"/>
      <c r="B33" s="238" t="s">
        <v>247</v>
      </c>
      <c r="C33" s="50" t="str">
        <f>G60</f>
        <v/>
      </c>
      <c r="D33" s="50" t="str">
        <f>G88</f>
        <v/>
      </c>
      <c r="E33" s="93"/>
      <c r="F33" s="470"/>
      <c r="G33" s="470"/>
      <c r="H33" s="449"/>
      <c r="I33" s="449"/>
      <c r="J33" s="449"/>
      <c r="K33" s="449"/>
    </row>
    <row r="34" spans="1:15" ht="15.75" customHeight="1" x14ac:dyDescent="0.25">
      <c r="A34" s="458" t="s">
        <v>60</v>
      </c>
      <c r="B34" s="75" t="s">
        <v>249</v>
      </c>
      <c r="C34" s="50" t="str">
        <f>G61</f>
        <v/>
      </c>
      <c r="D34" s="50" t="str">
        <f>G89</f>
        <v/>
      </c>
      <c r="E34" s="93"/>
    </row>
    <row r="35" spans="1:15" ht="15.75" customHeight="1" x14ac:dyDescent="0.25">
      <c r="A35" s="459"/>
      <c r="B35" s="75" t="s">
        <v>84</v>
      </c>
      <c r="C35" s="50" t="str">
        <f>G63</f>
        <v/>
      </c>
      <c r="D35" s="50" t="str">
        <f>G91</f>
        <v/>
      </c>
      <c r="E35" s="93"/>
    </row>
    <row r="36" spans="1:15" x14ac:dyDescent="0.25">
      <c r="H36" s="2"/>
      <c r="I36" s="2"/>
      <c r="J36" s="2"/>
      <c r="K36" s="2"/>
    </row>
    <row r="37" spans="1:15" x14ac:dyDescent="0.25">
      <c r="H37" s="2"/>
      <c r="I37" s="2"/>
      <c r="J37" s="2"/>
      <c r="K37" s="2"/>
    </row>
    <row r="38" spans="1:15" ht="21" x14ac:dyDescent="0.35">
      <c r="A38" s="383" t="s">
        <v>56</v>
      </c>
      <c r="B38" s="384"/>
      <c r="C38" s="384"/>
      <c r="D38" s="384"/>
      <c r="E38" s="384"/>
      <c r="F38" s="385"/>
      <c r="G38" s="451" t="s">
        <v>17</v>
      </c>
      <c r="H38" s="451"/>
      <c r="I38" s="451"/>
      <c r="J38" s="451"/>
    </row>
    <row r="39" spans="1:15" ht="15.75" x14ac:dyDescent="0.25">
      <c r="A39" s="246" t="s">
        <v>1</v>
      </c>
      <c r="B39" s="51" t="s">
        <v>2</v>
      </c>
      <c r="C39" s="386" t="s">
        <v>346</v>
      </c>
      <c r="D39" s="387"/>
      <c r="E39" s="51" t="s">
        <v>15</v>
      </c>
      <c r="F39" s="122" t="s">
        <v>16</v>
      </c>
      <c r="G39" s="51" t="s">
        <v>18</v>
      </c>
      <c r="H39" s="51" t="s">
        <v>19</v>
      </c>
      <c r="I39" s="51" t="s">
        <v>19</v>
      </c>
      <c r="J39" s="51" t="s">
        <v>20</v>
      </c>
    </row>
    <row r="40" spans="1:15" ht="15.75" x14ac:dyDescent="0.25">
      <c r="A40" s="428" t="s">
        <v>62</v>
      </c>
      <c r="B40" s="376" t="s">
        <v>168</v>
      </c>
      <c r="C40" s="108" t="s">
        <v>217</v>
      </c>
      <c r="D40" s="107"/>
      <c r="E40" s="106"/>
      <c r="F40" s="204" t="str">
        <f>IF(E40="","",IF(E40&gt;81,0,IF(E40&lt;=30,1,ROUND(IF(E40&gt;55,'Reference Standards'!C$14*E40+'Reference Standards'!C$15,'Reference Standards'!D$14*E40+'Reference Standards'!D$15),2))))</f>
        <v/>
      </c>
      <c r="G40" s="415" t="str">
        <f>IFERROR(AVERAGE(F40:F41),"")</f>
        <v/>
      </c>
      <c r="H40" s="419" t="str">
        <f>IFERROR(ROUND(AVERAGE(G40),2),"")</f>
        <v/>
      </c>
      <c r="I40" s="364" t="str">
        <f>IF(H40="","",IF(H40&gt;0.69,"Functioning",IF(H40&gt;0.29,"Functioning At Risk",IF(H40&gt;-1,"Not Functioning"))))</f>
        <v/>
      </c>
      <c r="J40" s="421" t="str">
        <f>IF(AND(H40="",H42="",H44="",H57="",H61=""),"",ROUND((IF(H40="",0,H40)*0.2)+(IF(H42="",0,H42)*0.2)+(IF(H44="",0,H44)*0.2)+(IF(H57="",0,H57)*0.2)+(IF(H61="",0,H61)*0.2),2))</f>
        <v/>
      </c>
      <c r="N40" s="13"/>
    </row>
    <row r="41" spans="1:15" ht="15.75" x14ac:dyDescent="0.25">
      <c r="A41" s="429"/>
      <c r="B41" s="377"/>
      <c r="C41" s="109" t="s">
        <v>338</v>
      </c>
      <c r="D41" s="54"/>
      <c r="E41" s="124"/>
      <c r="F41" s="205" t="str">
        <f>IF(E41="","",IF(E41&gt;=3.33,0,IF(E41=0,1,ROUND('Reference Standards'!C$47*E41+'Reference Standards'!C$48,2))))</f>
        <v/>
      </c>
      <c r="G41" s="416"/>
      <c r="H41" s="419"/>
      <c r="I41" s="365"/>
      <c r="J41" s="422"/>
      <c r="N41" s="13"/>
    </row>
    <row r="42" spans="1:15" ht="15.75" x14ac:dyDescent="0.25">
      <c r="A42" s="374" t="s">
        <v>6</v>
      </c>
      <c r="B42" s="374" t="s">
        <v>7</v>
      </c>
      <c r="C42" s="55" t="s">
        <v>8</v>
      </c>
      <c r="D42" s="55"/>
      <c r="E42" s="123"/>
      <c r="F42" s="206" t="str">
        <f>IF(E42="","",ROUND(IF(E42&gt;=1.714,0,    IF(E42&lt;=1,1,E42*'Reference Standards'!$L$13+'Reference Standards'!$L$14)),2))</f>
        <v/>
      </c>
      <c r="G42" s="411" t="str">
        <f>IFERROR(AVERAGE(F42:F43),"")</f>
        <v/>
      </c>
      <c r="H42" s="411" t="str">
        <f>IFERROR(ROUND(AVERAGE(G42),2),"")</f>
        <v/>
      </c>
      <c r="I42" s="364" t="str">
        <f>IF(H42="","",IF(H42&gt;0.69,"Functioning",IF(H42&gt;0.29,"Functioning At Risk",IF(H42&gt;-1,"Not Functioning"))))</f>
        <v/>
      </c>
      <c r="J42" s="422"/>
      <c r="N42" s="13"/>
      <c r="O42" s="13"/>
    </row>
    <row r="43" spans="1:15" ht="15.75" x14ac:dyDescent="0.25">
      <c r="A43" s="373"/>
      <c r="B43" s="373"/>
      <c r="C43" s="164" t="s">
        <v>9</v>
      </c>
      <c r="D43" s="165"/>
      <c r="E43" s="124"/>
      <c r="F43" s="207" t="str">
        <f>IF(E43="","",IF(OR(B$9="A",B$9="B", B$9="Bc"),IF(E43&lt;=1.05,0,IF(E43&gt;=2.2,1,ROUND(IF(E43&lt;1.4,E43*'Reference Standards'!$L$83+'Reference Standards'!$L$84,E43*'Reference Standards'!$M$83+'Reference Standards'!$M$84),2))),IF(OR(B$9="C",B$9="E"),IF(E43&lt;1.7,0,IF(E43&gt;=5,1,ROUND(IF(E43&lt;2.4,E43*'Reference Standards'!$M$48+'Reference Standards'!$M$49,E43*'Reference Standards'!$L$48+'Reference Standards'!$L$49),2))))))</f>
        <v/>
      </c>
      <c r="G43" s="412"/>
      <c r="H43" s="412"/>
      <c r="I43" s="365"/>
      <c r="J43" s="422"/>
      <c r="N43" s="13"/>
      <c r="O43" s="13"/>
    </row>
    <row r="44" spans="1:15" ht="15.75" customHeight="1" x14ac:dyDescent="0.25">
      <c r="A44" s="366" t="s">
        <v>27</v>
      </c>
      <c r="B44" s="263" t="s">
        <v>28</v>
      </c>
      <c r="C44" s="266" t="s">
        <v>24</v>
      </c>
      <c r="D44" s="267"/>
      <c r="E44" s="47"/>
      <c r="F44" s="77" t="str">
        <f>IF(E44="","",IF(E44&gt;=2825,1,IF(E44&lt;=0,0, ROUND(IF(E44&lt;1350,E44*'Reference Standards'!$U$13+'Reference Standards'!$U$14,E44*'Reference Standards'!$V$13+'Reference Standards'!$V$14),2))))</f>
        <v/>
      </c>
      <c r="G44" s="261" t="str">
        <f>IFERROR(AVERAGE(F44:F44),"")</f>
        <v/>
      </c>
      <c r="H44" s="369" t="str">
        <f>IFERROR(ROUND(AVERAGE(G44:G56),2),"")</f>
        <v/>
      </c>
      <c r="I44" s="364" t="str">
        <f>IF(H44="","",IF(H44&gt;0.69,"Functioning",IF(H44&gt;0.29,"Functioning At Risk",IF(H44&gt;-1,"Not Functioning"))))</f>
        <v/>
      </c>
      <c r="J44" s="422"/>
      <c r="N44" s="13"/>
      <c r="O44" s="13"/>
    </row>
    <row r="45" spans="1:15" ht="15.75" x14ac:dyDescent="0.25">
      <c r="A45" s="367"/>
      <c r="B45" s="366" t="s">
        <v>241</v>
      </c>
      <c r="C45" s="56" t="s">
        <v>51</v>
      </c>
      <c r="D45" s="56"/>
      <c r="E45" s="305"/>
      <c r="F45" s="225" t="str">
        <f>IF(E45="","",IF(OR(E45="Ex/Ex",E45="Ex/VH",E45="Ex/H",E45="Ex/M",E45="VH/Ex",E45="VH/VH", E45="H/Ex",E45="H/VH"),0, IF(OR(E45="M/Ex"),0.1,IF(OR(E45="VH/H",E45="VH/M",E45="H/H",E45="H/M", E45="M/VH"),0.2, IF(OR(E45="Ex/VL",E45="Ex/L", E45="M/H"),0.3, IF(OR(E45="VH/L",E45="H/L"),0.4, IF(OR(E45="VH/VL",E45="H/VL",E45="M/M"),0.5, IF(OR(E45="M/L",E45="L/Ex"),0.6, IF(OR(E45="M/VL",E45="L/VH", E45="L/H",E45="L/M",E45="L/L",E45="L/VL", LEFT(E45,2)="VL"),1)))))))))</f>
        <v/>
      </c>
      <c r="G45" s="418" t="str">
        <f>IFERROR(AVERAGE(F45:F47),"")</f>
        <v/>
      </c>
      <c r="H45" s="370"/>
      <c r="I45" s="424"/>
      <c r="J45" s="422"/>
      <c r="N45" s="13"/>
      <c r="O45" s="13"/>
    </row>
    <row r="46" spans="1:15" ht="15.75" x14ac:dyDescent="0.25">
      <c r="A46" s="367"/>
      <c r="B46" s="367"/>
      <c r="C46" s="57" t="s">
        <v>108</v>
      </c>
      <c r="D46" s="57"/>
      <c r="E46" s="123"/>
      <c r="F46" s="77" t="str">
        <f>IF(E46="","",ROUND(IF(E46&gt;=75,0,IF(E46&lt;=5,1,IF(E46&gt;10,E46*'Reference Standards'!U$48+'Reference Standards'!U$49,E46*'Reference Standards'!V$48+'Reference Standards'!V$49 ))),2))</f>
        <v/>
      </c>
      <c r="G46" s="418"/>
      <c r="H46" s="370"/>
      <c r="I46" s="424"/>
      <c r="J46" s="422"/>
      <c r="N46" s="13"/>
      <c r="O46" s="13"/>
    </row>
    <row r="47" spans="1:15" ht="15.75" x14ac:dyDescent="0.25">
      <c r="A47" s="367"/>
      <c r="B47" s="368"/>
      <c r="C47" s="56" t="s">
        <v>336</v>
      </c>
      <c r="D47" s="56"/>
      <c r="E47" s="124"/>
      <c r="F47" s="208" t="str">
        <f>IF(E47="","",IF(E47&gt;=30,0,IF(E47&lt;=0,1,ROUND(E47*'Reference Standards'!$U$81+'Reference Standards'!$U$82,2))))</f>
        <v/>
      </c>
      <c r="G47" s="418"/>
      <c r="H47" s="370"/>
      <c r="I47" s="424"/>
      <c r="J47" s="422"/>
      <c r="N47" s="13"/>
      <c r="O47" s="13"/>
    </row>
    <row r="48" spans="1:15" ht="15.75" x14ac:dyDescent="0.25">
      <c r="A48" s="367"/>
      <c r="B48" s="366" t="s">
        <v>52</v>
      </c>
      <c r="C48" s="58" t="s">
        <v>335</v>
      </c>
      <c r="D48" s="61"/>
      <c r="E48" s="106"/>
      <c r="F48" s="77" t="str">
        <f>IF(E48="","",IF(E48&gt;=150,1,IF(E48&lt;=0,0,ROUND(E48^2*'Reference Standards'!$U$115+E48*'Reference Standards'!$U$116+'Reference Standards'!$U$117,2))))</f>
        <v/>
      </c>
      <c r="G48" s="369" t="str">
        <f>IFERROR(AVERAGE(F48:F52),"")</f>
        <v/>
      </c>
      <c r="H48" s="370"/>
      <c r="I48" s="424"/>
      <c r="J48" s="422"/>
      <c r="N48" s="13"/>
      <c r="O48" s="13"/>
    </row>
    <row r="49" spans="1:15" ht="15.75" x14ac:dyDescent="0.25">
      <c r="A49" s="367"/>
      <c r="B49" s="367"/>
      <c r="C49" s="59" t="s">
        <v>355</v>
      </c>
      <c r="D49" s="56"/>
      <c r="E49" s="149"/>
      <c r="F49" s="77" t="str">
        <f>IF(E49="","",IF($B$20="Forested",IF(E49&gt;=12,1,IF(E49&lt;=0,0,ROUND(E49*'Reference Standards'!$U$149+'Reference Standards'!$U$150,2)))))</f>
        <v/>
      </c>
      <c r="G49" s="461"/>
      <c r="H49" s="370"/>
      <c r="I49" s="424"/>
      <c r="J49" s="422"/>
      <c r="M49" s="13"/>
      <c r="N49" s="13"/>
      <c r="O49" s="13"/>
    </row>
    <row r="50" spans="1:15" ht="15.75" x14ac:dyDescent="0.25">
      <c r="A50" s="367"/>
      <c r="B50" s="367"/>
      <c r="C50" s="59" t="s">
        <v>356</v>
      </c>
      <c r="D50" s="56"/>
      <c r="E50" s="123"/>
      <c r="F50" s="77" t="str">
        <f>IF(E50="","",IF($B$20="Forested",IF(AND(E50&gt;=95,E50&lt;=200),1,IF(E50&lt;=0,0,IF(E50&gt;=300,0.5,IF(E50&lt;100,ROUND(E50*'Reference Standards'!$U$184+'Reference Standards'!$U$185,2),ROUND(E50*'Reference Standards'!$V$184+'Reference Standards'!$V$185,2)))))))</f>
        <v/>
      </c>
      <c r="G50" s="370"/>
      <c r="H50" s="370"/>
      <c r="I50" s="424"/>
      <c r="J50" s="422"/>
      <c r="N50" s="13"/>
      <c r="O50" s="13"/>
    </row>
    <row r="51" spans="1:15" ht="15.75" x14ac:dyDescent="0.25">
      <c r="A51" s="367"/>
      <c r="B51" s="367"/>
      <c r="C51" s="59" t="s">
        <v>391</v>
      </c>
      <c r="D51" s="56"/>
      <c r="E51" s="123"/>
      <c r="F51" s="77" t="str">
        <f>IF(E51="","",IF($B$20="Forested",IF(E51&gt;=100,1,ROUND(E51*'Reference Standards'!$U$219+'Reference Standards'!$U$220,2)),IF($B$20="Scrub-shrub",IF(E51&gt;=470,1,ROUND(E51*'Reference Standards'!$V$219+'Reference Standards'!$V$220,2)))))</f>
        <v/>
      </c>
      <c r="G51" s="370"/>
      <c r="H51" s="370"/>
      <c r="I51" s="424"/>
      <c r="J51" s="422"/>
      <c r="N51" s="13"/>
      <c r="O51" s="13"/>
    </row>
    <row r="52" spans="1:15" ht="15.75" x14ac:dyDescent="0.25">
      <c r="A52" s="367"/>
      <c r="B52" s="367"/>
      <c r="C52" s="60" t="s">
        <v>354</v>
      </c>
      <c r="D52" s="125"/>
      <c r="E52" s="123"/>
      <c r="F52" s="77" t="str">
        <f>IF(E52="","",IF($B$20="Herbaceous",IF(E52&gt;=80,1,IF(E52&lt;=0,0,ROUND(E52*'Reference Standards'!$U$251+'Reference Standards'!$U$252,2)))))</f>
        <v/>
      </c>
      <c r="G52" s="370"/>
      <c r="H52" s="370"/>
      <c r="I52" s="424"/>
      <c r="J52" s="422"/>
      <c r="N52" s="13"/>
      <c r="O52" s="13"/>
    </row>
    <row r="53" spans="1:15" ht="15.75" x14ac:dyDescent="0.25">
      <c r="A53" s="367"/>
      <c r="B53" s="366" t="s">
        <v>53</v>
      </c>
      <c r="C53" s="61" t="s">
        <v>54</v>
      </c>
      <c r="D53" s="61"/>
      <c r="E53" s="150"/>
      <c r="F53" s="209" t="str">
        <f>IF(E53="","", IF(OR($B$9="C",$B$9="E"), ROUND(IF(OR(E53&lt;=1,E53&gt;=9),0,IF(AND(E53&gt;=3.5,E53&lt;=6),1,IF(E53&lt;3.5, E53*'Reference Standards'!$U$289+'Reference Standards'!$U$290, E53*'Reference Standards'!$V$289+'Reference Standards'!$V$290))),2),   IF(OR($B$9="A",$B$9="B"), ROUND(IF(OR(E53&gt;=6.5,E53=0),0, IF(E53&lt;=4, 1, E53^2*'Reference Standards'!$U$320+E53*'Reference Standards'!$U$321+'Reference Standards'!$U$322)),2), IF($B$9="Bc",  ROUND(IF(E53&gt;=8,0, IF(E53&lt;=5, 1, E53^2*'Reference Standards'!$U$352+E53*'Reference Standards'!$U$353+'Reference Standards'!$U$354)),2)    )     )))</f>
        <v/>
      </c>
      <c r="G53" s="462" t="str">
        <f>IFERROR(AVERAGE(F53:F56),"")</f>
        <v/>
      </c>
      <c r="H53" s="370"/>
      <c r="I53" s="424"/>
      <c r="J53" s="422"/>
      <c r="N53" s="13"/>
      <c r="O53" s="13"/>
    </row>
    <row r="54" spans="1:15" ht="15.75" x14ac:dyDescent="0.25">
      <c r="A54" s="367"/>
      <c r="B54" s="367"/>
      <c r="C54" s="56" t="s">
        <v>55</v>
      </c>
      <c r="D54" s="56"/>
      <c r="E54" s="149"/>
      <c r="F54" s="77" t="str">
        <f>IF(E54="","", ROUND(  IF(E54&lt;=1.1,0, IF(E54&gt;=3,1, IF(E54&lt;2, E54^2*'Reference Standards'!$U$387+  E54*'Reference Standards'!$U$388 + 'Reference Standards'!$U$389,     E54^2*'Reference Standards'!$V$387+  E54*'Reference Standards'!$V$388 + 'Reference Standards'!$V$389))),2))</f>
        <v/>
      </c>
      <c r="G54" s="461"/>
      <c r="H54" s="370"/>
      <c r="I54" s="424"/>
      <c r="J54" s="422"/>
      <c r="N54" s="13"/>
      <c r="O54" s="13"/>
    </row>
    <row r="55" spans="1:15" ht="15.75" x14ac:dyDescent="0.25">
      <c r="A55" s="367"/>
      <c r="B55" s="367"/>
      <c r="C55" s="56" t="s">
        <v>337</v>
      </c>
      <c r="D55" s="56"/>
      <c r="E55" s="149"/>
      <c r="F55" s="210" t="str">
        <f>IF(E55="","", IF(OR($B$9="A",LEFT($B$9,1)="B"), ROUND(IF(OR(E55&lt;=20,E55&gt;=90),0,IF(AND(E55&gt;=50,E55&lt;=60),1,IF(E55&lt;50, E55*'Reference Standards'!$U$422+'Reference Standards'!$U$423, E55*'Reference Standards'!$V$422+'Reference Standards'!$V$423))),2),   IF(OR($B$9="C",$B$9="E"), ROUND(IF(OR(E55&lt;=20,E55&gt;=85),0, IF(AND(E55&lt;=65,E55&gt;=45), 1, IF(E55&lt;45, E55*'Reference Standards'!$U$457+'Reference Standards'!$U$458,E55*'Reference Standards'!$V$457+'Reference Standards'!$V$458 ))),2)   )  ))</f>
        <v/>
      </c>
      <c r="G55" s="461"/>
      <c r="H55" s="370"/>
      <c r="I55" s="424"/>
      <c r="J55" s="422"/>
      <c r="N55" s="13"/>
      <c r="O55" s="13"/>
    </row>
    <row r="56" spans="1:15" ht="15.75" x14ac:dyDescent="0.25">
      <c r="A56" s="368"/>
      <c r="B56" s="368"/>
      <c r="C56" s="62" t="s">
        <v>180</v>
      </c>
      <c r="D56" s="62"/>
      <c r="E56" s="151"/>
      <c r="F56" s="196" t="str">
        <f>IF(E56="","",IF(E56&gt;=1.6,0,IF(E56&lt;=1,1,ROUND('Reference Standards'!$U$489*E56^3+'Reference Standards'!$U$490*E56^2+'Reference Standards'!$U$491*E56+'Reference Standards'!$U$492,2))))</f>
        <v/>
      </c>
      <c r="G56" s="463"/>
      <c r="H56" s="371"/>
      <c r="I56" s="365"/>
      <c r="J56" s="422"/>
      <c r="N56" s="13"/>
      <c r="O56" s="13"/>
    </row>
    <row r="57" spans="1:15" ht="15.75" x14ac:dyDescent="0.25">
      <c r="A57" s="361" t="s">
        <v>59</v>
      </c>
      <c r="B57" s="112" t="s">
        <v>94</v>
      </c>
      <c r="C57" s="63" t="s">
        <v>245</v>
      </c>
      <c r="D57" s="63"/>
      <c r="E57" s="47"/>
      <c r="F57" s="79" t="str">
        <f>IF(E57="","",IF($B$18="Coldwater",
ROUND(IF(E57&gt;=69.3,0,
IF(E57&lt;=59,1,E57*'Reference Standards'!$AD$16+'Reference Standards'!$AD$17)),2),                                   IF($B$18="Cold-transitional",
ROUND(IF(E57&gt;=71.38,0,
IF(E57&lt;=66.2,1,E57*'Reference Standards'!$AE$16+'Reference Standards'!$AE$17)),2),                                  IF(LEFT($B$18,1)="W",
ROUND(IF(E57&gt;=82.6,0,
IF(E57&lt;=69.8,1,
E57*'Reference Standards'!$AF$16+'Reference Standards'!$AF$17)),2)))))</f>
        <v/>
      </c>
      <c r="G57" s="78" t="str">
        <f>IFERROR(AVERAGE(F57),"")</f>
        <v/>
      </c>
      <c r="H57" s="359" t="str">
        <f>IFERROR(ROUND(AVERAGE(G57:G60),2),"")</f>
        <v/>
      </c>
      <c r="I57" s="360" t="str">
        <f>IF(H57="","",IF(H57&gt;0.69,"Functioning",IF(H57&gt;0.29,"Functioning At Risk",IF(H57&gt;-1,"Not Functioning"))))</f>
        <v/>
      </c>
      <c r="J57" s="422"/>
      <c r="N57" s="13"/>
      <c r="O57" s="13"/>
    </row>
    <row r="58" spans="1:15" ht="15.75" x14ac:dyDescent="0.25">
      <c r="A58" s="362"/>
      <c r="B58" s="64" t="s">
        <v>109</v>
      </c>
      <c r="C58" s="94" t="s">
        <v>386</v>
      </c>
      <c r="D58" s="94"/>
      <c r="E58" s="47"/>
      <c r="F58" s="211" t="str">
        <f>IF(E58="","",ROUND(IF(E58&gt;=4500,0,IF(E58&lt;=10,1, IF(E58&lt;1000, E58^2*'Reference Standards'!$AD$49+E58*'Reference Standards'!$AD$50+'Reference Standards'!$AD$51,E58^2*'Reference Standards'!$AE$49+E58*'Reference Standards'!$AE$50+'Reference Standards'!$AE$51))),2))</f>
        <v/>
      </c>
      <c r="G58" s="78" t="str">
        <f>IFERROR(AVERAGE(F58),"")</f>
        <v/>
      </c>
      <c r="H58" s="359"/>
      <c r="I58" s="360"/>
      <c r="J58" s="422"/>
      <c r="N58" s="13"/>
      <c r="O58" s="13"/>
    </row>
    <row r="59" spans="1:15" ht="15.75" x14ac:dyDescent="0.25">
      <c r="A59" s="362"/>
      <c r="B59" s="168" t="s">
        <v>246</v>
      </c>
      <c r="C59" s="168" t="s">
        <v>277</v>
      </c>
      <c r="D59" s="137"/>
      <c r="E59" s="169"/>
      <c r="F59" s="212" t="str">
        <f>IF(E59="","",  IF(OR($B$14="Northern Lakes and Forests",$B$14="North Central Hardwood Forests"), ROUND(IF(E59&gt;=151,0, IF(E59&lt;=3.9,1, IF(E59&lt;=12, E59*'Reference Standards'!$AD$86+'Reference Standards'!$AD$87,IF(E59&lt;50,E59*'Reference Standards'!$AE$86+'Reference Standards'!$AE$87, E59*'Reference Standards'!$AF$86+'Reference Standards'!$AF$87)))),2),
IF(OR($B$14="Southern Michigan/Northern Indiana Drift Plains"), ROUND(IF(E59&gt;=186,0, IF(E59&lt;=12.5,1, IF(E59&lt;=30, E59*'Reference Standards'!$AG$86+'Reference Standards'!$AG$87,IF(E59&lt;90,E59*'Reference Standards'!$AH$86+'Reference Standards'!$AH$87,E59*'Reference Standards'!$AI$86+'Reference Standards'!$AI$87)))),2),
IF(OR($B$14="Huron Erie Lake Plains",$B$14="Eastern Corn Belt Plains"), ROUND(IF(E59&gt;=550,0, IF(E59&lt;=29,1, IF(E59&lt;=70, E59*'Reference Standards'!$AD$118+'Reference Standards'!$AD$119,IF(E59&lt;160,  E59*'Reference Standards'!$AE$118+'Reference Standards'!$AE$119,   E59*'Reference Standards'!$AF$118+'Reference Standards'!$AF$119)))),2)))    ))</f>
        <v/>
      </c>
      <c r="G59" s="79" t="str">
        <f>IFERROR(AVERAGE(F59),"")</f>
        <v/>
      </c>
      <c r="H59" s="359"/>
      <c r="I59" s="360"/>
      <c r="J59" s="422"/>
      <c r="O59" s="13"/>
    </row>
    <row r="60" spans="1:15" ht="15.75" x14ac:dyDescent="0.25">
      <c r="A60" s="363"/>
      <c r="B60" s="232" t="s">
        <v>247</v>
      </c>
      <c r="C60" s="240" t="s">
        <v>387</v>
      </c>
      <c r="D60" s="241"/>
      <c r="E60" s="106"/>
      <c r="F60" s="212" t="str">
        <f>IF(E60="","",          IF(LEFT($B$18,1)="C",
ROUND(IF(E60&lt;=5.25,0,
IF(E60&gt;=7.75,1,E60*'Reference Standards'!$AD$152+'Reference Standards'!$AD$153)),2), IF(LEFT($B$18,1)="W",
ROUND(IF(E60&lt;=3.25,0,
IF(E60&gt;=5.75,1,
E60*'Reference Standards'!$AE$152+'Reference Standards'!$AE$153)),2))))</f>
        <v/>
      </c>
      <c r="G60" s="80" t="str">
        <f>IFERROR(AVERAGE(F60),"")</f>
        <v/>
      </c>
      <c r="H60" s="359"/>
      <c r="I60" s="360"/>
      <c r="J60" s="422"/>
      <c r="O60" s="13"/>
    </row>
    <row r="61" spans="1:15" ht="15.75" x14ac:dyDescent="0.25">
      <c r="A61" s="380" t="s">
        <v>60</v>
      </c>
      <c r="B61" s="378" t="s">
        <v>249</v>
      </c>
      <c r="C61" s="99" t="s">
        <v>388</v>
      </c>
      <c r="D61" s="100"/>
      <c r="E61" s="150"/>
      <c r="F61" s="213" t="str">
        <f>IF(E61="","",IF(B$19="Wadeable",IF(E61&lt;=-9,0,IF(E61&gt;=9,1,ROUND(E61*'Reference Standards'!AM$13+'Reference Standards'!AM$14,2))) ))</f>
        <v/>
      </c>
      <c r="G61" s="408" t="str">
        <f>IFERROR(AVERAGE(F61:F62),"")</f>
        <v/>
      </c>
      <c r="H61" s="414" t="str">
        <f>IFERROR(ROUND(AVERAGE(G61:G63),2),"")</f>
        <v/>
      </c>
      <c r="I61" s="360" t="str">
        <f>IF(H61="","",IF(H61&gt;0.69,"Functioning",IF(H61&gt;0.29,"Functioning At Risk",IF(H61&gt;-1,"Not Functioning"))))</f>
        <v/>
      </c>
      <c r="J61" s="422"/>
      <c r="O61" s="13"/>
    </row>
    <row r="62" spans="1:15" ht="15.75" x14ac:dyDescent="0.25">
      <c r="A62" s="381"/>
      <c r="B62" s="379"/>
      <c r="C62" s="101" t="s">
        <v>389</v>
      </c>
      <c r="D62" s="66"/>
      <c r="E62" s="151"/>
      <c r="F62" s="81" t="str">
        <f>IF(E62="","", IF(B$19="Non-wadeable",IF(E62&lt;=0,0, IF(E62&gt;=100,1, ROUND( E62*'Reference Standards'!AM$46+'Reference Standards'!AM$47,2)))))</f>
        <v/>
      </c>
      <c r="G62" s="409"/>
      <c r="H62" s="414"/>
      <c r="I62" s="360"/>
      <c r="J62" s="422"/>
      <c r="O62" s="13"/>
    </row>
    <row r="63" spans="1:15" ht="15.75" x14ac:dyDescent="0.25">
      <c r="A63" s="382"/>
      <c r="B63" s="113" t="s">
        <v>84</v>
      </c>
      <c r="C63" s="66" t="s">
        <v>390</v>
      </c>
      <c r="D63" s="66"/>
      <c r="E63" s="124"/>
      <c r="F63" s="214" t="str">
        <f>IF(E63="","",IF(AND(B$19="Wadeable",OR(B$18="Warm",B$18="Warm-transitional")),IF(E63&lt;=-10,0,IF(E63&gt;=10,1,ROUND(E63*'Reference Standards'!$AM$80+'Reference Standards'!$AM$81,2)))))</f>
        <v/>
      </c>
      <c r="G63" s="81" t="str">
        <f>IFERROR(AVERAGE(F63),"")</f>
        <v/>
      </c>
      <c r="H63" s="414"/>
      <c r="I63" s="360"/>
      <c r="J63" s="423"/>
      <c r="O63" s="13"/>
    </row>
    <row r="66" spans="1:10" ht="21" x14ac:dyDescent="0.35">
      <c r="A66" s="383" t="s">
        <v>57</v>
      </c>
      <c r="B66" s="384"/>
      <c r="C66" s="384"/>
      <c r="D66" s="384"/>
      <c r="E66" s="384"/>
      <c r="F66" s="385"/>
      <c r="G66" s="383" t="s">
        <v>17</v>
      </c>
      <c r="H66" s="384"/>
      <c r="I66" s="384"/>
      <c r="J66" s="385"/>
    </row>
    <row r="67" spans="1:10" ht="15.75" x14ac:dyDescent="0.25">
      <c r="A67" s="246" t="s">
        <v>1</v>
      </c>
      <c r="B67" s="51" t="s">
        <v>2</v>
      </c>
      <c r="C67" s="386" t="s">
        <v>346</v>
      </c>
      <c r="D67" s="387"/>
      <c r="E67" s="51" t="s">
        <v>15</v>
      </c>
      <c r="F67" s="122" t="s">
        <v>16</v>
      </c>
      <c r="G67" s="51" t="s">
        <v>18</v>
      </c>
      <c r="H67" s="51" t="s">
        <v>19</v>
      </c>
      <c r="I67" s="51" t="s">
        <v>19</v>
      </c>
      <c r="J67" s="51" t="s">
        <v>20</v>
      </c>
    </row>
    <row r="68" spans="1:10" ht="15.75" x14ac:dyDescent="0.25">
      <c r="A68" s="375" t="s">
        <v>62</v>
      </c>
      <c r="B68" s="376" t="s">
        <v>168</v>
      </c>
      <c r="C68" s="108" t="s">
        <v>217</v>
      </c>
      <c r="D68" s="107"/>
      <c r="E68" s="106"/>
      <c r="F68" s="204" t="str">
        <f>IF(E68="","",IF(E68&gt;81,0,IF(E68&lt;=30,1,ROUND(IF(E68&gt;55,'Reference Standards'!C$14*E68+'Reference Standards'!C$15,'Reference Standards'!D$14*E68+'Reference Standards'!D$15),2))))</f>
        <v/>
      </c>
      <c r="G68" s="415" t="str">
        <f>IFERROR(AVERAGE(F68:F69),"")</f>
        <v/>
      </c>
      <c r="H68" s="419" t="str">
        <f>IFERROR(ROUND(AVERAGE(G68),2),"")</f>
        <v/>
      </c>
      <c r="I68" s="364" t="str">
        <f>IF(H68="","",IF(H68&gt;0.69,"Functioning",IF(H68&gt;0.29,"Functioning At Risk",IF(H68&gt;-1,"Not Functioning"))))</f>
        <v/>
      </c>
      <c r="J68" s="421" t="str">
        <f>IF(AND(H68="",H70="",H72="",H85="",H89=""),"",ROUND((IF(H68="",0,H68)*0.2)+(IF(H70="",0,H70)*0.2)+(IF(H72="",0,H72)*0.2)+(IF(H85="",0,H85)*0.2)+(IF(H89="",0,H89)*0.2),2))</f>
        <v/>
      </c>
    </row>
    <row r="69" spans="1:10" ht="15.75" x14ac:dyDescent="0.25">
      <c r="A69" s="375"/>
      <c r="B69" s="377"/>
      <c r="C69" s="109" t="s">
        <v>338</v>
      </c>
      <c r="D69" s="54"/>
      <c r="E69" s="124"/>
      <c r="F69" s="205" t="str">
        <f>IF(E69="","",IF(E69&gt;=3.33,0,IF(E69=0,1,ROUND('Reference Standards'!C$47*E69+'Reference Standards'!C$48,2))))</f>
        <v/>
      </c>
      <c r="G69" s="417"/>
      <c r="H69" s="419"/>
      <c r="I69" s="365"/>
      <c r="J69" s="422"/>
    </row>
    <row r="70" spans="1:10" ht="15.75" x14ac:dyDescent="0.25">
      <c r="A70" s="372" t="s">
        <v>6</v>
      </c>
      <c r="B70" s="374" t="s">
        <v>7</v>
      </c>
      <c r="C70" s="55" t="s">
        <v>8</v>
      </c>
      <c r="D70" s="166"/>
      <c r="E70" s="123"/>
      <c r="F70" s="206" t="str">
        <f>IF(E70="","",ROUND(IF(E70&gt;=1.714,0,    IF(E70&lt;=1,1,E70*'Reference Standards'!$L$13+'Reference Standards'!$L$14)),2))</f>
        <v/>
      </c>
      <c r="G70" s="420" t="str">
        <f>IFERROR(AVERAGE(F70:F71),"")</f>
        <v/>
      </c>
      <c r="H70" s="411" t="str">
        <f>IFERROR(ROUND(AVERAGE(G70),2),"")</f>
        <v/>
      </c>
      <c r="I70" s="364" t="str">
        <f>IF(H70="","",IF(H70&gt;0.69,"Functioning",IF(H70&gt;0.29,"Functioning At Risk",IF(H70&gt;-1,"Not Functioning"))))</f>
        <v/>
      </c>
      <c r="J70" s="422"/>
    </row>
    <row r="71" spans="1:10" ht="15.75" x14ac:dyDescent="0.25">
      <c r="A71" s="373"/>
      <c r="B71" s="373"/>
      <c r="C71" s="164" t="s">
        <v>9</v>
      </c>
      <c r="D71" s="165"/>
      <c r="E71" s="124"/>
      <c r="F71" s="207" t="str">
        <f>IF(E71="","",IF(OR(B$9="A",B$9="B", B$9="Bc"),IF(E71&lt;=1.05,0,IF(E71&gt;=2.2,1,ROUND(IF(E71&lt;1.4,E71*'Reference Standards'!$L$83+'Reference Standards'!$L$84,E71*'Reference Standards'!$M$83+'Reference Standards'!$M$84),2))),IF(OR(B$9="C",B$9="E"),IF(E71&lt;1.7,0,IF(E71&gt;=5,1,ROUND(IF(E71&lt;2.4,E71*'Reference Standards'!$M$48+'Reference Standards'!$M$49,E71*'Reference Standards'!$L$48+'Reference Standards'!$L$49),2))))))</f>
        <v/>
      </c>
      <c r="G71" s="412"/>
      <c r="H71" s="412"/>
      <c r="I71" s="365"/>
      <c r="J71" s="422"/>
    </row>
    <row r="72" spans="1:10" ht="15.75" customHeight="1" x14ac:dyDescent="0.25">
      <c r="A72" s="263" t="s">
        <v>27</v>
      </c>
      <c r="B72" s="265" t="s">
        <v>28</v>
      </c>
      <c r="C72" s="266" t="s">
        <v>24</v>
      </c>
      <c r="D72" s="267"/>
      <c r="E72" s="47"/>
      <c r="F72" s="77" t="str">
        <f>IF(E72="","",IF(E72&gt;=2825,1,IF(E72&lt;=0,0, ROUND(IF(E72&lt;1350,E72*'Reference Standards'!$U$13+'Reference Standards'!$U$14,E72*'Reference Standards'!$V$13+'Reference Standards'!$V$14),2))))</f>
        <v/>
      </c>
      <c r="G72" s="260" t="str">
        <f>IFERROR(AVERAGE(F72:F72),"")</f>
        <v/>
      </c>
      <c r="H72" s="369" t="str">
        <f>IFERROR(ROUND(AVERAGE(G72:G84),2),"")</f>
        <v/>
      </c>
      <c r="I72" s="364" t="str">
        <f>IF(H72="","",IF(H72&gt;0.69,"Functioning",IF(H72&gt;0.29,"Functioning At Risk",IF(H72&gt;-1,"Not Functioning"))))</f>
        <v/>
      </c>
      <c r="J72" s="422"/>
    </row>
    <row r="73" spans="1:10" ht="15.75" x14ac:dyDescent="0.25">
      <c r="A73" s="264"/>
      <c r="B73" s="366" t="s">
        <v>241</v>
      </c>
      <c r="C73" s="56" t="s">
        <v>51</v>
      </c>
      <c r="D73" s="56"/>
      <c r="E73" s="305"/>
      <c r="F73" s="225" t="str">
        <f>IF(E73="","",IF(OR(E73="Ex/Ex",E73="Ex/VH",E73="Ex/H",E73="Ex/M",E73="VH/Ex",E73="VH/VH", E73="H/Ex",E73="H/VH"),0, IF(OR(E73="M/Ex"),0.1,IF(OR(E73="VH/H",E73="VH/M",E73="H/H",E73="H/M", E73="M/VH"),0.2, IF(OR(E73="Ex/VL",E73="Ex/L", E73="M/H"),0.3, IF(OR(E73="VH/L",E73="H/L"),0.4, IF(OR(E73="VH/VL",E73="H/VL",E73="M/M"),0.5, IF(OR(E73="M/L",E73="L/Ex"),0.6, IF(OR(E73="M/VL",E73="L/VH", E73="L/H",E73="L/M",E73="L/L",E73="L/VL", LEFT(E73,2)="VL"),1)))))))))</f>
        <v/>
      </c>
      <c r="G73" s="413" t="str">
        <f>IFERROR(AVERAGE(F73:F75),"")</f>
        <v/>
      </c>
      <c r="H73" s="370"/>
      <c r="I73" s="424"/>
      <c r="J73" s="422"/>
    </row>
    <row r="74" spans="1:10" ht="15.75" x14ac:dyDescent="0.25">
      <c r="A74" s="264"/>
      <c r="B74" s="367"/>
      <c r="C74" s="57" t="s">
        <v>108</v>
      </c>
      <c r="D74" s="57"/>
      <c r="E74" s="123"/>
      <c r="F74" s="77" t="str">
        <f>IF(E74="","",ROUND(IF(E74&gt;=75,0,IF(E74&lt;=5,1,IF(E74&gt;10,E74*'Reference Standards'!U$48+'Reference Standards'!U$49,E74*'Reference Standards'!V$48+'Reference Standards'!V$49 ))),2))</f>
        <v/>
      </c>
      <c r="G74" s="413"/>
      <c r="H74" s="370"/>
      <c r="I74" s="424"/>
      <c r="J74" s="422"/>
    </row>
    <row r="75" spans="1:10" ht="15.75" x14ac:dyDescent="0.25">
      <c r="A75" s="264"/>
      <c r="B75" s="368"/>
      <c r="C75" s="56" t="s">
        <v>336</v>
      </c>
      <c r="D75" s="56"/>
      <c r="E75" s="124"/>
      <c r="F75" s="208" t="str">
        <f>IF(E75="","",IF(E75&gt;=30,0,IF(E75&lt;=0,1,ROUND(E75*'Reference Standards'!$U$81+'Reference Standards'!$U$82,2))))</f>
        <v/>
      </c>
      <c r="G75" s="413"/>
      <c r="H75" s="370"/>
      <c r="I75" s="424"/>
      <c r="J75" s="422"/>
    </row>
    <row r="76" spans="1:10" ht="15.75" x14ac:dyDescent="0.25">
      <c r="A76" s="264"/>
      <c r="B76" s="366" t="s">
        <v>52</v>
      </c>
      <c r="C76" s="58" t="s">
        <v>335</v>
      </c>
      <c r="D76" s="61"/>
      <c r="E76" s="106"/>
      <c r="F76" s="77" t="str">
        <f>IF(E76="","",IF(E76&gt;=150,1,IF(E76&lt;=0,0,ROUND(E76^2*'Reference Standards'!$U$115+E76*'Reference Standards'!$U$116+'Reference Standards'!$U$117,2))))</f>
        <v/>
      </c>
      <c r="G76" s="369" t="str">
        <f>IFERROR(AVERAGE(F76:F80),"")</f>
        <v/>
      </c>
      <c r="H76" s="370"/>
      <c r="I76" s="424"/>
      <c r="J76" s="422"/>
    </row>
    <row r="77" spans="1:10" ht="15.75" x14ac:dyDescent="0.25">
      <c r="A77" s="264"/>
      <c r="B77" s="367"/>
      <c r="C77" s="59" t="s">
        <v>355</v>
      </c>
      <c r="D77" s="56"/>
      <c r="E77" s="149"/>
      <c r="F77" s="77" t="str">
        <f>IF(E77="","",IF($B$20="Forested",IF(E77&gt;=12,1,IF(E77&lt;=0,0,ROUND(E77*'Reference Standards'!$U$149+'Reference Standards'!$U$150,2)))))</f>
        <v/>
      </c>
      <c r="G77" s="370"/>
      <c r="H77" s="370"/>
      <c r="I77" s="424"/>
      <c r="J77" s="422"/>
    </row>
    <row r="78" spans="1:10" ht="15.75" x14ac:dyDescent="0.25">
      <c r="A78" s="264"/>
      <c r="B78" s="367"/>
      <c r="C78" s="59" t="s">
        <v>356</v>
      </c>
      <c r="D78" s="56"/>
      <c r="E78" s="123"/>
      <c r="F78" s="77" t="str">
        <f>IF(E78="","",IF($B$20="Forested",IF(AND(E78&gt;=95,E78&lt;=200),1,IF(E78&lt;=0,0,IF(E78&gt;=300,0.5,IF(E78&lt;100,ROUND(E78*'Reference Standards'!$U$184+'Reference Standards'!$U$185,2),ROUND(E78*'Reference Standards'!$V$184+'Reference Standards'!$V$185,2)))))))</f>
        <v/>
      </c>
      <c r="G78" s="370"/>
      <c r="H78" s="370"/>
      <c r="I78" s="424"/>
      <c r="J78" s="422"/>
    </row>
    <row r="79" spans="1:10" ht="15.75" x14ac:dyDescent="0.25">
      <c r="A79" s="264"/>
      <c r="B79" s="367"/>
      <c r="C79" s="59" t="s">
        <v>391</v>
      </c>
      <c r="D79" s="200"/>
      <c r="E79" s="123"/>
      <c r="F79" s="77" t="str">
        <f>IF(E79="","",IF($B$20="Forested",IF(E79&gt;=100,1,ROUND(E79*'Reference Standards'!$U$219+'Reference Standards'!$U$220,2)),IF($B$20="Scrub-shrub",IF(E79&gt;=470,1,ROUND(E79*'Reference Standards'!$V$219+'Reference Standards'!$V$220,2)))))</f>
        <v/>
      </c>
      <c r="G79" s="370"/>
      <c r="H79" s="370"/>
      <c r="I79" s="424"/>
      <c r="J79" s="422"/>
    </row>
    <row r="80" spans="1:10" ht="15.75" x14ac:dyDescent="0.25">
      <c r="A80" s="264"/>
      <c r="B80" s="367"/>
      <c r="C80" s="60" t="s">
        <v>354</v>
      </c>
      <c r="D80" s="62"/>
      <c r="E80" s="123"/>
      <c r="F80" s="77" t="str">
        <f>IF(E80="","",IF($B$20="Herbaceous",IF(E80&gt;=80,1,IF(E80&lt;=0,0,ROUND(E80*'Reference Standards'!$U$251+'Reference Standards'!$U$252,2)))))</f>
        <v/>
      </c>
      <c r="G80" s="370"/>
      <c r="H80" s="370"/>
      <c r="I80" s="424"/>
      <c r="J80" s="422"/>
    </row>
    <row r="81" spans="1:10" ht="15.75" x14ac:dyDescent="0.25">
      <c r="A81" s="264"/>
      <c r="B81" s="366" t="s">
        <v>53</v>
      </c>
      <c r="C81" s="61" t="s">
        <v>54</v>
      </c>
      <c r="D81" s="61"/>
      <c r="E81" s="150"/>
      <c r="F81" s="209" t="str">
        <f>IF(E81="","", IF(OR($B$9="C",$B$9="E"), ROUND(IF(OR(E81&lt;=1,E81&gt;=9),0,IF(AND(E81&gt;=3.5,E81&lt;=6),1,IF(E81&lt;3.5, E81*'Reference Standards'!$U$289+'Reference Standards'!$U$290, E81*'Reference Standards'!$V$289+'Reference Standards'!$V$290))),2),   IF(OR($B$9="A",$B$9="B"), ROUND(IF(OR(E81&gt;=6.5,E81=0),0, IF(E81&lt;=4, 1, E81^2*'Reference Standards'!$U$320+E81*'Reference Standards'!$U$321+'Reference Standards'!$U$322)),2), IF($B$9="Bc",  ROUND(IF(E81&gt;=8,0, IF(E81&lt;=5, 1, E81^2*'Reference Standards'!$U$352+E81*'Reference Standards'!$U$353+'Reference Standards'!$U$354)),2)    )     )))</f>
        <v/>
      </c>
      <c r="G81" s="369" t="str">
        <f>IFERROR(AVERAGE(F81:F84),"")</f>
        <v/>
      </c>
      <c r="H81" s="370"/>
      <c r="I81" s="424"/>
      <c r="J81" s="422"/>
    </row>
    <row r="82" spans="1:10" ht="15.75" x14ac:dyDescent="0.25">
      <c r="A82" s="264"/>
      <c r="B82" s="367"/>
      <c r="C82" s="56" t="s">
        <v>55</v>
      </c>
      <c r="D82" s="56"/>
      <c r="E82" s="149"/>
      <c r="F82" s="77" t="str">
        <f>IF(E82="","", ROUND(  IF(E82&lt;=1.1,0, IF(E82&gt;=3,1, IF(E82&lt;2, E82^2*'Reference Standards'!$U$387+  E82*'Reference Standards'!$U$388 + 'Reference Standards'!$U$389,     E82^2*'Reference Standards'!$V$387+  E82*'Reference Standards'!$V$388 + 'Reference Standards'!$V$389))),2))</f>
        <v/>
      </c>
      <c r="G82" s="370"/>
      <c r="H82" s="370"/>
      <c r="I82" s="424"/>
      <c r="J82" s="422"/>
    </row>
    <row r="83" spans="1:10" ht="15.75" x14ac:dyDescent="0.25">
      <c r="A83" s="264"/>
      <c r="B83" s="367"/>
      <c r="C83" s="56" t="s">
        <v>337</v>
      </c>
      <c r="D83" s="56"/>
      <c r="E83" s="149"/>
      <c r="F83" s="210" t="str">
        <f>IF(E83="","", IF(OR($B$9="A",LEFT($B$9,1)="B"), ROUND(IF(OR(E83&lt;=20,E83&gt;=90),0,IF(AND(E83&gt;=50,E83&lt;=60),1,IF(E83&lt;50, E83*'Reference Standards'!$U$422+'Reference Standards'!$U$423, E83*'Reference Standards'!$V$422+'Reference Standards'!$V$423))),2),   IF(OR($B$9="C",$B$9="E"), ROUND(IF(OR(E83&lt;=20,E83&gt;=85),0, IF(AND(E83&lt;=65,E83&gt;=45), 1, IF(E83&lt;45, E83*'Reference Standards'!$U$457+'Reference Standards'!$U$458,E83*'Reference Standards'!$V$457+'Reference Standards'!$V$458 ))),2)   )  ))</f>
        <v/>
      </c>
      <c r="G83" s="370"/>
      <c r="H83" s="370"/>
      <c r="I83" s="424"/>
      <c r="J83" s="422"/>
    </row>
    <row r="84" spans="1:10" ht="15.75" x14ac:dyDescent="0.25">
      <c r="A84" s="264"/>
      <c r="B84" s="368"/>
      <c r="C84" s="62" t="s">
        <v>180</v>
      </c>
      <c r="D84" s="62"/>
      <c r="E84" s="151"/>
      <c r="F84" s="300" t="str">
        <f>IF(E84="","",IF(E84&gt;=1.6,0,IF(E84&lt;=1,1,ROUND('Reference Standards'!$U$489*E84^3+'Reference Standards'!$U$490*E84^2+'Reference Standards'!$U$491*E84+'Reference Standards'!$U$492,2))))</f>
        <v/>
      </c>
      <c r="G84" s="371"/>
      <c r="H84" s="371"/>
      <c r="I84" s="365"/>
      <c r="J84" s="422"/>
    </row>
    <row r="85" spans="1:10" ht="15.75" x14ac:dyDescent="0.25">
      <c r="A85" s="361" t="s">
        <v>59</v>
      </c>
      <c r="B85" s="231" t="s">
        <v>94</v>
      </c>
      <c r="C85" s="63" t="s">
        <v>245</v>
      </c>
      <c r="D85" s="63"/>
      <c r="E85" s="47"/>
      <c r="F85" s="79" t="str">
        <f>IF(E85="","",IF($B$18="Coldwater",
ROUND(IF(E85&gt;=69.3,0,
IF(E85&lt;=59,1,E85*'Reference Standards'!$AD$16+'Reference Standards'!$AD$17)),2),                                   IF($B$18="Cold-transitional",
ROUND(IF(E85&gt;=71.38,0,
IF(E85&lt;=66.2,1,E85*'Reference Standards'!$AE$16+'Reference Standards'!$AE$17)),2),                                  IF(LEFT($B$18,1)="W",
ROUND(IF(E85&gt;=82.6,0,
IF(E85&lt;=69.8,1,
E85*'Reference Standards'!$AF$16+'Reference Standards'!$AF$17)),2)))))</f>
        <v/>
      </c>
      <c r="G85" s="78" t="str">
        <f>IFERROR(AVERAGE(F85),"")</f>
        <v/>
      </c>
      <c r="H85" s="359" t="str">
        <f>IFERROR(ROUND(AVERAGE(G85:G88),2),"")</f>
        <v/>
      </c>
      <c r="I85" s="360" t="str">
        <f>IF(H85="","",IF(H85&gt;0.69,"Functioning",IF(H85&gt;0.29,"Functioning At Risk",IF(H85&gt;-1,"Not Functioning"))))</f>
        <v/>
      </c>
      <c r="J85" s="422"/>
    </row>
    <row r="86" spans="1:10" ht="15.75" x14ac:dyDescent="0.25">
      <c r="A86" s="362"/>
      <c r="B86" s="64" t="s">
        <v>109</v>
      </c>
      <c r="C86" s="94" t="s">
        <v>386</v>
      </c>
      <c r="D86" s="65"/>
      <c r="E86" s="123"/>
      <c r="F86" s="211" t="str">
        <f>IF(E86="","",ROUND(IF(E86&gt;=4500,0,IF(E86&lt;=10,1, IF(E86&lt;1000, E86^2*'Reference Standards'!$AD$49+E86*'Reference Standards'!$AD$50+'Reference Standards'!$AD$51,E86^2*'Reference Standards'!$AE$49+E86*'Reference Standards'!$AE$50+'Reference Standards'!$AE$51))),2))</f>
        <v/>
      </c>
      <c r="G86" s="79" t="str">
        <f>IFERROR(AVERAGE(F86),"")</f>
        <v/>
      </c>
      <c r="H86" s="359"/>
      <c r="I86" s="360"/>
      <c r="J86" s="422"/>
    </row>
    <row r="87" spans="1:10" ht="15.75" x14ac:dyDescent="0.25">
      <c r="A87" s="362"/>
      <c r="B87" s="168" t="s">
        <v>246</v>
      </c>
      <c r="C87" s="168" t="s">
        <v>277</v>
      </c>
      <c r="D87" s="137"/>
      <c r="E87" s="169"/>
      <c r="F87" s="212" t="str">
        <f>IF(E87="","",  IF(OR($B$14="Northern Lakes and Forests",$B$14="North Central Hardwood Forests"), ROUND(IF(E87&gt;=151,0, IF(E87&lt;=3.9,1, IF(E87&lt;=12, E87*'Reference Standards'!$AD$86+'Reference Standards'!$AD$87,IF(E87&lt;50,E87*'Reference Standards'!$AE$86+'Reference Standards'!$AE$87, E87*'Reference Standards'!$AF$86+'Reference Standards'!$AF$87)))),2),
IF(OR($B$14="Southern Michigan/Northern Indiana Drift Plains"), ROUND(IF(E87&gt;=186,0, IF(E87&lt;=12.5,1, IF(E87&lt;=30, E87*'Reference Standards'!$AG$86+'Reference Standards'!$AG$87,IF(E87&lt;90,E87*'Reference Standards'!$AH$86+'Reference Standards'!$AH$87,E87*'Reference Standards'!$AI$86+'Reference Standards'!$AI$87)))),2),
IF(OR($B$14="Huron Erie Lake Plains",$B$14="Eastern Corn Belt Plains"), ROUND(IF(E87&gt;=550,0, IF(E87&lt;=29,1, IF(E87&lt;=70, E87*'Reference Standards'!$AD$118+'Reference Standards'!$AD$119,IF(E87&lt;160,  E87*'Reference Standards'!$AE$118+'Reference Standards'!$AE$119,   E87*'Reference Standards'!$AF$118+'Reference Standards'!$AF$119)))),2)))    ))</f>
        <v/>
      </c>
      <c r="G87" s="80" t="str">
        <f>IFERROR(AVERAGE(F87),"")</f>
        <v/>
      </c>
      <c r="H87" s="359"/>
      <c r="I87" s="360"/>
      <c r="J87" s="422"/>
    </row>
    <row r="88" spans="1:10" ht="15.75" x14ac:dyDescent="0.25">
      <c r="A88" s="363"/>
      <c r="B88" s="232" t="s">
        <v>247</v>
      </c>
      <c r="C88" s="240" t="s">
        <v>387</v>
      </c>
      <c r="D88" s="244"/>
      <c r="E88" s="106"/>
      <c r="F88" s="212" t="str">
        <f>IF(E88="","",          IF(LEFT($B$18,1)="C",
ROUND(IF(E88&lt;=5.25,0,
IF(E88&gt;=7.75,1,E88*'Reference Standards'!$AD$152+'Reference Standards'!$AD$153)),2), IF(LEFT($B$18,1)="W",
ROUND(IF(E88&lt;=3.25,0,
IF(E88&gt;=5.75,1,
E88*'Reference Standards'!$AE$152+'Reference Standards'!$AE$153)),2))))</f>
        <v/>
      </c>
      <c r="G88" s="78" t="str">
        <f>IFERROR(AVERAGE(F88),"")</f>
        <v/>
      </c>
      <c r="H88" s="359"/>
      <c r="I88" s="360"/>
      <c r="J88" s="422"/>
    </row>
    <row r="89" spans="1:10" ht="15.75" x14ac:dyDescent="0.25">
      <c r="A89" s="380" t="s">
        <v>60</v>
      </c>
      <c r="B89" s="378" t="s">
        <v>249</v>
      </c>
      <c r="C89" s="99" t="s">
        <v>388</v>
      </c>
      <c r="D89" s="100"/>
      <c r="E89" s="150"/>
      <c r="F89" s="213" t="str">
        <f>IF(E89="","",IF(B$19="Wadeable",IF(ABS(E89-E61)&lt;2,F61,IF(E89&lt;=-9,0,IF(E89&gt;=9,1,ROUND(E89*'Reference Standards'!AM$13+'Reference Standards'!AM$14,2))) )))</f>
        <v/>
      </c>
      <c r="G89" s="408" t="str">
        <f>IFERROR(AVERAGE(F89:F90),"")</f>
        <v/>
      </c>
      <c r="H89" s="414" t="str">
        <f>IFERROR(ROUND(AVERAGE(G89:G91),2),"")</f>
        <v/>
      </c>
      <c r="I89" s="360" t="str">
        <f>IF(H89="","",IF(H89&gt;0.69,"Functioning",IF(H89&gt;0.29,"Functioning At Risk",IF(H89&gt;-1,"Not Functioning"))))</f>
        <v/>
      </c>
      <c r="J89" s="422"/>
    </row>
    <row r="90" spans="1:10" ht="15.75" x14ac:dyDescent="0.25">
      <c r="A90" s="381"/>
      <c r="B90" s="379"/>
      <c r="C90" s="101" t="s">
        <v>389</v>
      </c>
      <c r="D90" s="66"/>
      <c r="E90" s="151"/>
      <c r="F90" s="81" t="str">
        <f>IF(E90="","", IF(B$19="Non-wadeable",IF(E90&lt;=0,0, IF(E90&gt;=100,1, ROUND( E90*'Reference Standards'!AM$46+'Reference Standards'!AM$47,2)))))</f>
        <v/>
      </c>
      <c r="G90" s="409"/>
      <c r="H90" s="414"/>
      <c r="I90" s="360"/>
      <c r="J90" s="422"/>
    </row>
    <row r="91" spans="1:10" ht="15.75" x14ac:dyDescent="0.25">
      <c r="A91" s="382"/>
      <c r="B91" s="233" t="s">
        <v>84</v>
      </c>
      <c r="C91" s="66" t="s">
        <v>390</v>
      </c>
      <c r="D91" s="66"/>
      <c r="E91" s="124"/>
      <c r="F91" s="214" t="str">
        <f>IF(E91="","",IF(AND(B$19="Wadeable",OR(B$18="Warm",B$18="Warm-transitional")),IF(ABS(E63-E91)&lt;2,F63, IF(E91&lt;=-10,0,IF(E91&gt;=10,1,ROUND(E91*'Reference Standards'!$AM$80+'Reference Standards'!$AM$81,2))))))</f>
        <v/>
      </c>
      <c r="G91" s="81" t="str">
        <f>IFERROR(AVERAGE(F91),"")</f>
        <v/>
      </c>
      <c r="H91" s="414"/>
      <c r="I91" s="360"/>
      <c r="J91" s="423"/>
    </row>
    <row r="94" spans="1:10" ht="21.75" thickBot="1" x14ac:dyDescent="0.4">
      <c r="A94" s="393" t="s">
        <v>123</v>
      </c>
      <c r="B94" s="394"/>
      <c r="C94" s="394"/>
      <c r="D94" s="395"/>
      <c r="E94" s="71"/>
      <c r="H94" s="2"/>
      <c r="I94" s="2"/>
    </row>
    <row r="95" spans="1:10" ht="29.25" thickTop="1" x14ac:dyDescent="0.25">
      <c r="A95" s="391" t="s">
        <v>141</v>
      </c>
      <c r="B95" s="392"/>
      <c r="C95" s="402" t="s">
        <v>385</v>
      </c>
      <c r="D95" s="403"/>
      <c r="E95" s="95"/>
    </row>
    <row r="96" spans="1:10" ht="18" customHeight="1" x14ac:dyDescent="0.25">
      <c r="A96" s="309" t="s">
        <v>369</v>
      </c>
      <c r="B96" s="314"/>
      <c r="C96" s="404" t="s">
        <v>392</v>
      </c>
      <c r="D96" s="405"/>
      <c r="E96" s="95"/>
    </row>
    <row r="97" spans="1:11" ht="18" customHeight="1" x14ac:dyDescent="0.25">
      <c r="A97" s="310" t="s">
        <v>370</v>
      </c>
      <c r="B97" s="315"/>
      <c r="C97" s="404"/>
      <c r="D97" s="405"/>
      <c r="E97" s="95"/>
    </row>
    <row r="98" spans="1:11" ht="18" customHeight="1" x14ac:dyDescent="0.25">
      <c r="A98" s="311" t="s">
        <v>371</v>
      </c>
      <c r="B98" s="316" t="str">
        <f>IF(B97="","",ROUND(SQRT(43560*B97),2))</f>
        <v/>
      </c>
      <c r="C98" s="406"/>
      <c r="D98" s="407"/>
      <c r="E98" s="95"/>
    </row>
    <row r="99" spans="1:11" ht="15.75" customHeight="1" x14ac:dyDescent="0.25">
      <c r="A99" s="386" t="s">
        <v>124</v>
      </c>
      <c r="B99" s="387"/>
      <c r="C99" s="392"/>
      <c r="D99" s="398"/>
      <c r="E99" s="96"/>
      <c r="H99" s="410"/>
      <c r="I99" s="410"/>
      <c r="J99" s="410"/>
    </row>
    <row r="100" spans="1:11" ht="15.75" customHeight="1" x14ac:dyDescent="0.25">
      <c r="A100" s="67" t="s">
        <v>2</v>
      </c>
      <c r="B100" s="67" t="s">
        <v>346</v>
      </c>
      <c r="C100" s="228" t="s">
        <v>15</v>
      </c>
      <c r="D100" s="228" t="s">
        <v>16</v>
      </c>
    </row>
    <row r="101" spans="1:11" ht="15.75" x14ac:dyDescent="0.25">
      <c r="A101" s="52" t="s">
        <v>168</v>
      </c>
      <c r="B101" s="53" t="s">
        <v>344</v>
      </c>
      <c r="C101" s="191">
        <v>21</v>
      </c>
      <c r="D101" s="50">
        <f>IF(C101="","", IF(C101&gt;=60,0, IF(C101&lt;=0,1,ROUND( IF(C101&lt;=5, 'Reference Standards'!C$83*C101+'Reference Standards'!C$84,'Reference Standards'!D$83*LN(C101)+'Reference Standards'!D$84),2))))</f>
        <v>0.3</v>
      </c>
      <c r="K101" s="26"/>
    </row>
    <row r="102" spans="1:11" ht="15" customHeight="1" x14ac:dyDescent="0.25">
      <c r="A102" s="168" t="s">
        <v>246</v>
      </c>
      <c r="B102" s="168" t="s">
        <v>277</v>
      </c>
      <c r="C102" s="47"/>
      <c r="D102" s="215" t="str">
        <f>IF(C102="","",  IF(OR($B$14="Northern Lakes and Forests",$B$14="North Central Hardwood Forests"), ROUND(IF(C102&gt;=151,0, IF(C102&lt;=3.9,1, IF(C102&lt;=12, C102*'Reference Standards'!$AD$86+'Reference Standards'!$AD$87,IF(C102&lt;50,C102*'Reference Standards'!$AE$86+'Reference Standards'!$AE$87, C102*'Reference Standards'!$AF$86+'Reference Standards'!$AF$87)))),2),
IF(OR($B$14="Southern Michigan/Northern Indiana Drift Plains"), ROUND(IF(C102&gt;=186,0, IF(C102&lt;=12.5,1, IF(C102&lt;=30, C102*'Reference Standards'!$AG$86+'Reference Standards'!$AG$87,IF(C102&lt;90,C102*'Reference Standards'!$AH$86+'Reference Standards'!$AH$87,C102*'Reference Standards'!$AI$86+'Reference Standards'!$AI$87)))),2),
IF(OR($B$14="Huron Erie Lake Plains",$B$14="Eastern Corn Belt Plains"), ROUND(IF(C102&gt;=550,0, IF(C102&lt;=29,1, IF(C102&lt;=70, C102*'Reference Standards'!$AD$118+'Reference Standards'!$AD$119,IF(C102&lt;160,  C102*'Reference Standards'!$AE$118+'Reference Standards'!$AE$119,   C102*'Reference Standards'!$AF$118+'Reference Standards'!$AF$119)))),2)))    ))</f>
        <v/>
      </c>
    </row>
    <row r="103" spans="1:11" ht="15" customHeight="1" x14ac:dyDescent="0.25">
      <c r="A103" s="386" t="s">
        <v>125</v>
      </c>
      <c r="B103" s="387"/>
      <c r="C103" s="387"/>
      <c r="D103" s="396"/>
    </row>
    <row r="104" spans="1:11" ht="15.75" x14ac:dyDescent="0.25">
      <c r="A104" s="67" t="s">
        <v>2</v>
      </c>
      <c r="B104" s="67" t="s">
        <v>346</v>
      </c>
      <c r="C104" s="228" t="s">
        <v>15</v>
      </c>
      <c r="D104" s="228" t="s">
        <v>16</v>
      </c>
    </row>
    <row r="105" spans="1:11" ht="15.75" x14ac:dyDescent="0.25">
      <c r="A105" s="52" t="s">
        <v>168</v>
      </c>
      <c r="B105" s="53" t="s">
        <v>344</v>
      </c>
      <c r="C105" s="47"/>
      <c r="D105" s="50" t="str">
        <f>IF(C105="","", IF(C105&gt;=60,0, IF(C105&lt;=0,1,ROUND( IF(C105&lt;=5, 'Reference Standards'!C$83*C105+'Reference Standards'!C$84,'Reference Standards'!D$83*LN(C105)+'Reference Standards'!D$84),2))))</f>
        <v/>
      </c>
    </row>
    <row r="106" spans="1:11" ht="15.75" x14ac:dyDescent="0.25">
      <c r="A106" s="168" t="s">
        <v>246</v>
      </c>
      <c r="B106" s="168" t="s">
        <v>277</v>
      </c>
      <c r="C106" s="47"/>
      <c r="D106" s="215" t="str">
        <f>IF(C106="","",  IF(OR($B$14="Northern Lakes and Forests",$B$14="North Central Hardwood Forests"), ROUND(IF(C106&gt;=151,0, IF(C106&lt;=3.9,1, IF(C106&lt;=12, C106*'Reference Standards'!$AD$86+'Reference Standards'!$AD$87,IF(C106&lt;50,C106*'Reference Standards'!$AE$86+'Reference Standards'!$AE$87, C106*'Reference Standards'!$AF$86+'Reference Standards'!$AF$87)))),2),
IF(OR($B$14="Southern Michigan/Northern Indiana Drift Plains"), ROUND(IF(C106&gt;=186,0, IF(C106&lt;=12.5,1, IF(C106&lt;=30, C106*'Reference Standards'!$AG$86+'Reference Standards'!$AG$87,IF(C106&lt;90,C106*'Reference Standards'!$AH$86+'Reference Standards'!$AH$87,C106*'Reference Standards'!$AI$86+'Reference Standards'!$AI$87)))),2),
IF(OR($B$14="Huron Erie Lake Plains",$B$14="Eastern Corn Belt Plains"), ROUND(IF(C106&gt;=550,0, IF(C106&lt;=29,1, IF(C106&lt;=70, C106*'Reference Standards'!$AD$118+'Reference Standards'!$AD$119,IF(C106&lt;160,  C106*'Reference Standards'!$AE$118+'Reference Standards'!$AE$119,   C106*'Reference Standards'!$AF$118+'Reference Standards'!$AF$119)))),2)))    ))</f>
        <v/>
      </c>
    </row>
    <row r="107" spans="1:11" ht="15.75" x14ac:dyDescent="0.25">
      <c r="A107" s="397" t="s">
        <v>126</v>
      </c>
      <c r="B107" s="397"/>
      <c r="C107" s="397"/>
      <c r="D107" s="397"/>
      <c r="E107" s="96"/>
    </row>
    <row r="108" spans="1:11" ht="15.75" x14ac:dyDescent="0.25">
      <c r="A108" s="399" t="s">
        <v>127</v>
      </c>
      <c r="B108" s="399"/>
      <c r="C108" s="303">
        <f>IFERROR(ROUND(AVERAGE(D101:D102),2),"")</f>
        <v>0.3</v>
      </c>
      <c r="D108" s="302"/>
      <c r="E108" s="96"/>
    </row>
    <row r="109" spans="1:11" ht="15.75" x14ac:dyDescent="0.25">
      <c r="A109" s="399" t="s">
        <v>128</v>
      </c>
      <c r="B109" s="399"/>
      <c r="C109" s="50" t="str">
        <f>IFERROR(ROUND(AVERAGE(D105:D106),2),"")</f>
        <v/>
      </c>
      <c r="D109" s="302"/>
      <c r="E109" s="96"/>
    </row>
    <row r="110" spans="1:11" ht="15.75" x14ac:dyDescent="0.25">
      <c r="A110" s="399" t="s">
        <v>129</v>
      </c>
      <c r="B110" s="399"/>
      <c r="C110" s="307" t="str">
        <f>IFERROR(ROUND(C108*B98,1),"")</f>
        <v/>
      </c>
      <c r="D110" s="302"/>
      <c r="E110" s="96"/>
    </row>
    <row r="111" spans="1:11" ht="15.75" x14ac:dyDescent="0.25">
      <c r="A111" s="399" t="s">
        <v>130</v>
      </c>
      <c r="B111" s="399"/>
      <c r="C111" s="307" t="str">
        <f>IFERROR(ROUND(C109*B98,1),"")</f>
        <v/>
      </c>
      <c r="D111" s="302"/>
      <c r="E111" s="96"/>
    </row>
    <row r="112" spans="1:11" ht="16.5" thickBot="1" x14ac:dyDescent="0.3">
      <c r="A112" s="400" t="s">
        <v>131</v>
      </c>
      <c r="B112" s="401"/>
      <c r="C112" s="68" t="str">
        <f>IFERROR(C111-C110,"")</f>
        <v/>
      </c>
      <c r="D112" s="304"/>
      <c r="E112" s="96"/>
      <c r="G112" s="308"/>
    </row>
    <row r="113" spans="1:5" ht="16.5" thickTop="1" thickBot="1" x14ac:dyDescent="0.3">
      <c r="A113" s="45"/>
      <c r="B113" s="45"/>
      <c r="C113" s="45"/>
      <c r="D113" s="45"/>
    </row>
    <row r="114" spans="1:5" ht="29.25" thickTop="1" x14ac:dyDescent="0.25">
      <c r="A114" s="388" t="s">
        <v>141</v>
      </c>
      <c r="B114" s="389"/>
      <c r="C114" s="402" t="s">
        <v>133</v>
      </c>
      <c r="D114" s="403"/>
      <c r="E114" s="95"/>
    </row>
    <row r="115" spans="1:5" ht="18" customHeight="1" x14ac:dyDescent="0.25">
      <c r="A115" s="309" t="s">
        <v>369</v>
      </c>
      <c r="B115" s="312"/>
      <c r="C115" s="404" t="s">
        <v>392</v>
      </c>
      <c r="D115" s="405"/>
      <c r="E115" s="95"/>
    </row>
    <row r="116" spans="1:5" ht="18" customHeight="1" x14ac:dyDescent="0.25">
      <c r="A116" s="310" t="s">
        <v>370</v>
      </c>
      <c r="B116" s="247"/>
      <c r="C116" s="404"/>
      <c r="D116" s="405"/>
      <c r="E116" s="95"/>
    </row>
    <row r="117" spans="1:5" ht="18" customHeight="1" x14ac:dyDescent="0.25">
      <c r="A117" s="311" t="s">
        <v>371</v>
      </c>
      <c r="B117" s="313" t="str">
        <f>IF(B116="","",ROUND(SQRT(43560*B116),2))</f>
        <v/>
      </c>
      <c r="C117" s="406"/>
      <c r="D117" s="407"/>
      <c r="E117" s="95"/>
    </row>
    <row r="118" spans="1:5" ht="15.75" customHeight="1" x14ac:dyDescent="0.25">
      <c r="A118" s="386" t="s">
        <v>124</v>
      </c>
      <c r="B118" s="387"/>
      <c r="C118" s="387"/>
      <c r="D118" s="396"/>
      <c r="E118" s="96"/>
    </row>
    <row r="119" spans="1:5" ht="15.75" customHeight="1" x14ac:dyDescent="0.25">
      <c r="A119" s="67" t="s">
        <v>2</v>
      </c>
      <c r="B119" s="67" t="s">
        <v>3</v>
      </c>
      <c r="C119" s="228" t="s">
        <v>15</v>
      </c>
      <c r="D119" s="228" t="s">
        <v>16</v>
      </c>
    </row>
    <row r="120" spans="1:5" ht="15.75" x14ac:dyDescent="0.25">
      <c r="A120" s="52" t="s">
        <v>168</v>
      </c>
      <c r="B120" s="53" t="s">
        <v>344</v>
      </c>
      <c r="C120" s="47">
        <v>20</v>
      </c>
      <c r="D120" s="50">
        <f>IF(C120="","", IF(C120&gt;=60,0, IF(C120&lt;=0,1,ROUND( IF(C120&lt;=5, 'Reference Standards'!C$83*C120+'Reference Standards'!C$84,'Reference Standards'!D$83*LN(C120)+'Reference Standards'!D$84),2))))</f>
        <v>0.31</v>
      </c>
    </row>
    <row r="121" spans="1:5" ht="15.75" x14ac:dyDescent="0.25">
      <c r="A121" s="168" t="s">
        <v>246</v>
      </c>
      <c r="B121" s="168" t="s">
        <v>277</v>
      </c>
      <c r="C121" s="47"/>
      <c r="D121" s="215" t="str">
        <f>IF(C121="","",  IF(OR($B$14="Northern Lakes and Forests",$B$14="North Central Hardwood Forests"), ROUND(IF(C121&gt;=151,0, IF(C121&lt;=3.9,1, IF(C121&lt;=12, C121*'Reference Standards'!$AD$86+'Reference Standards'!$AD$87,IF(C121&lt;50,C121*'Reference Standards'!$AE$86+'Reference Standards'!$AE$87, C121*'Reference Standards'!$AF$86+'Reference Standards'!$AF$87)))),2),
IF(OR($B$14="Southern Michigan/Northern Indiana Drift Plains"), ROUND(IF(C121&gt;=186,0, IF(C121&lt;=12.5,1, IF(C121&lt;=30, C121*'Reference Standards'!$AG$86+'Reference Standards'!$AG$87,IF(C121&lt;90,C121*'Reference Standards'!$AH$86+'Reference Standards'!$AH$87,C121*'Reference Standards'!$AI$86+'Reference Standards'!$AI$87)))),2),
IF(OR($B$14="Huron Erie Lake Plains",$B$14="Eastern Corn Belt Plains"), ROUND(IF(C121&gt;=550,0, IF(C121&lt;=29,1, IF(C121&lt;=70, C121*'Reference Standards'!$AD$118+'Reference Standards'!$AD$119,IF(C121&lt;160,  C121*'Reference Standards'!$AE$118+'Reference Standards'!$AE$119,   C121*'Reference Standards'!$AF$118+'Reference Standards'!$AF$119)))),2)))    ))</f>
        <v/>
      </c>
    </row>
    <row r="122" spans="1:5" ht="15.75" x14ac:dyDescent="0.25">
      <c r="A122" s="386" t="s">
        <v>125</v>
      </c>
      <c r="B122" s="387"/>
      <c r="C122" s="387"/>
      <c r="D122" s="396"/>
    </row>
    <row r="123" spans="1:5" ht="15.75" x14ac:dyDescent="0.25">
      <c r="A123" s="67" t="s">
        <v>2</v>
      </c>
      <c r="B123" s="67" t="s">
        <v>3</v>
      </c>
      <c r="C123" s="228" t="s">
        <v>15</v>
      </c>
      <c r="D123" s="228" t="s">
        <v>16</v>
      </c>
    </row>
    <row r="124" spans="1:5" ht="15.75" x14ac:dyDescent="0.25">
      <c r="A124" s="52" t="s">
        <v>168</v>
      </c>
      <c r="B124" s="53" t="s">
        <v>344</v>
      </c>
      <c r="C124" s="47"/>
      <c r="D124" s="50" t="str">
        <f>IF(C124="","", IF(C124&gt;=60,0, IF(C124&lt;=0,1,ROUND( IF(C124&lt;=5, 'Reference Standards'!C$83*C124+'Reference Standards'!C$84,'Reference Standards'!D$83*LN(C124)+'Reference Standards'!D$84),2))))</f>
        <v/>
      </c>
    </row>
    <row r="125" spans="1:5" ht="15.75" x14ac:dyDescent="0.25">
      <c r="A125" s="168" t="s">
        <v>246</v>
      </c>
      <c r="B125" s="168" t="s">
        <v>277</v>
      </c>
      <c r="C125" s="47"/>
      <c r="D125" s="215" t="str">
        <f>IF(C125="","",  IF(OR($B$14="Northern Lakes and Forests",$B$14="North Central Hardwood Forests"), ROUND(IF(C125&gt;=151,0, IF(C125&lt;=3.9,1, IF(C125&lt;=12, C125*'Reference Standards'!$AD$86+'Reference Standards'!$AD$87,IF(C125&lt;50,C125*'Reference Standards'!$AE$86+'Reference Standards'!$AE$87, C125*'Reference Standards'!$AF$86+'Reference Standards'!$AF$87)))),2),
IF(OR($B$14="Southern Michigan/Northern Indiana Drift Plains"), ROUND(IF(C125&gt;=186,0, IF(C125&lt;=12.5,1, IF(C125&lt;=30, C125*'Reference Standards'!$AG$86+'Reference Standards'!$AG$87,IF(C125&lt;90,C125*'Reference Standards'!$AH$86+'Reference Standards'!$AH$87,C125*'Reference Standards'!$AI$86+'Reference Standards'!$AI$87)))),2),
IF(OR($B$14="Huron Erie Lake Plains",$B$14="Eastern Corn Belt Plains"), ROUND(IF(C125&gt;=550,0, IF(C125&lt;=29,1, IF(C125&lt;=70, C125*'Reference Standards'!$AD$118+'Reference Standards'!$AD$119,IF(C125&lt;160,  C125*'Reference Standards'!$AE$118+'Reference Standards'!$AE$119,   C125*'Reference Standards'!$AF$118+'Reference Standards'!$AF$119)))),2)))    ))</f>
        <v/>
      </c>
    </row>
    <row r="126" spans="1:5" ht="15.75" x14ac:dyDescent="0.25">
      <c r="A126" s="397" t="s">
        <v>126</v>
      </c>
      <c r="B126" s="397"/>
      <c r="C126" s="397"/>
      <c r="D126" s="397"/>
      <c r="E126" s="96"/>
    </row>
    <row r="127" spans="1:5" ht="15.75" x14ac:dyDescent="0.25">
      <c r="A127" s="475" t="s">
        <v>127</v>
      </c>
      <c r="B127" s="475"/>
      <c r="C127" s="303">
        <f>IFERROR(ROUND(AVERAGE(D120:D121),2),"")</f>
        <v>0.31</v>
      </c>
      <c r="D127" s="302"/>
      <c r="E127" s="96"/>
    </row>
    <row r="128" spans="1:5" ht="15.75" x14ac:dyDescent="0.25">
      <c r="A128" s="399" t="s">
        <v>128</v>
      </c>
      <c r="B128" s="399"/>
      <c r="C128" s="50" t="str">
        <f>IFERROR(ROUND(AVERAGE(D124:D125),2),"")</f>
        <v/>
      </c>
      <c r="D128" s="302"/>
      <c r="E128" s="96"/>
    </row>
    <row r="129" spans="1:7" ht="15.75" x14ac:dyDescent="0.25">
      <c r="A129" s="399" t="s">
        <v>129</v>
      </c>
      <c r="B129" s="399"/>
      <c r="C129" s="307" t="str">
        <f>IFERROR(ROUND(C127*B117,1),"")</f>
        <v/>
      </c>
      <c r="D129" s="302"/>
      <c r="E129" s="96"/>
    </row>
    <row r="130" spans="1:7" ht="15.75" x14ac:dyDescent="0.25">
      <c r="A130" s="399" t="s">
        <v>130</v>
      </c>
      <c r="B130" s="399"/>
      <c r="C130" s="307" t="str">
        <f>IFERROR(ROUND(C128*B117,1),"")</f>
        <v/>
      </c>
      <c r="D130" s="302"/>
      <c r="E130" s="96"/>
    </row>
    <row r="131" spans="1:7" ht="16.5" thickBot="1" x14ac:dyDescent="0.3">
      <c r="A131" s="400" t="s">
        <v>131</v>
      </c>
      <c r="B131" s="401"/>
      <c r="C131" s="68" t="str">
        <f>IFERROR(C130-C129,"")</f>
        <v/>
      </c>
      <c r="D131" s="304"/>
      <c r="E131" s="96"/>
      <c r="G131" s="308"/>
    </row>
    <row r="132" spans="1:7" ht="15.75" thickTop="1" x14ac:dyDescent="0.25">
      <c r="A132" s="69"/>
      <c r="B132" s="69"/>
      <c r="C132" s="69"/>
      <c r="D132" s="69"/>
    </row>
    <row r="133" spans="1:7" ht="15.75" thickBot="1" x14ac:dyDescent="0.3">
      <c r="A133" s="70"/>
      <c r="B133" s="70"/>
      <c r="C133" s="239"/>
      <c r="D133" s="239"/>
    </row>
    <row r="134" spans="1:7" ht="29.25" thickTop="1" x14ac:dyDescent="0.25">
      <c r="A134" s="388" t="s">
        <v>141</v>
      </c>
      <c r="B134" s="390"/>
      <c r="C134" s="402" t="s">
        <v>132</v>
      </c>
      <c r="D134" s="403"/>
      <c r="E134" s="95"/>
    </row>
    <row r="135" spans="1:7" ht="17.25" customHeight="1" x14ac:dyDescent="0.25">
      <c r="A135" s="309" t="s">
        <v>369</v>
      </c>
      <c r="B135" s="314"/>
      <c r="C135" s="404" t="s">
        <v>392</v>
      </c>
      <c r="D135" s="405"/>
      <c r="E135" s="95"/>
    </row>
    <row r="136" spans="1:7" ht="17.25" customHeight="1" x14ac:dyDescent="0.25">
      <c r="A136" s="310" t="s">
        <v>370</v>
      </c>
      <c r="B136" s="315"/>
      <c r="C136" s="404"/>
      <c r="D136" s="405"/>
      <c r="E136" s="95"/>
    </row>
    <row r="137" spans="1:7" ht="17.25" customHeight="1" x14ac:dyDescent="0.25">
      <c r="A137" s="311" t="s">
        <v>371</v>
      </c>
      <c r="B137" s="316" t="str">
        <f>IF(B136="","",ROUND(SQRT(43560*B136),2))</f>
        <v/>
      </c>
      <c r="C137" s="406"/>
      <c r="D137" s="407"/>
      <c r="E137" s="95"/>
    </row>
    <row r="138" spans="1:7" ht="15.75" customHeight="1" x14ac:dyDescent="0.25">
      <c r="A138" s="386" t="s">
        <v>124</v>
      </c>
      <c r="B138" s="387"/>
      <c r="C138" s="392"/>
      <c r="D138" s="398"/>
      <c r="E138" s="96"/>
    </row>
    <row r="139" spans="1:7" ht="15.75" customHeight="1" x14ac:dyDescent="0.25">
      <c r="A139" s="67" t="s">
        <v>2</v>
      </c>
      <c r="B139" s="67" t="s">
        <v>3</v>
      </c>
      <c r="C139" s="228" t="s">
        <v>15</v>
      </c>
      <c r="D139" s="228" t="s">
        <v>16</v>
      </c>
    </row>
    <row r="140" spans="1:7" ht="15.75" x14ac:dyDescent="0.25">
      <c r="A140" s="52" t="s">
        <v>168</v>
      </c>
      <c r="B140" s="53" t="s">
        <v>344</v>
      </c>
      <c r="C140" s="47"/>
      <c r="D140" s="48" t="str">
        <f>IF(C140="","", IF(C140&gt;=60,0, IF(C140&lt;=0,1,ROUND( IF(C140&lt;=5, 'Reference Standards'!C$83*C140+'Reference Standards'!C$84,'Reference Standards'!D$83*LN(C140)+'Reference Standards'!D$84),2))))</f>
        <v/>
      </c>
    </row>
    <row r="141" spans="1:7" ht="15.75" x14ac:dyDescent="0.25">
      <c r="A141" s="168" t="s">
        <v>246</v>
      </c>
      <c r="B141" s="168" t="s">
        <v>277</v>
      </c>
      <c r="C141" s="47"/>
      <c r="D141" s="215" t="str">
        <f>IF(C141="","",  IF(OR($B$14="Northern Lakes and Forests",$B$14="North Central Hardwood Forests"), ROUND(IF(C141&gt;=151,0, IF(C141&lt;=3.9,1, IF(C141&lt;=12, C141*'Reference Standards'!$AD$86+'Reference Standards'!$AD$87,IF(C141&lt;50,C141*'Reference Standards'!$AE$86+'Reference Standards'!$AE$87, C141*'Reference Standards'!$AF$86+'Reference Standards'!$AF$87)))),2),
IF(OR($B$14="Southern Michigan/Northern Indiana Drift Plains"), ROUND(IF(C141&gt;=186,0, IF(C141&lt;=12.5,1, IF(C141&lt;=30, C141*'Reference Standards'!$AG$86+'Reference Standards'!$AG$87,IF(C141&lt;90,C141*'Reference Standards'!$AH$86+'Reference Standards'!$AH$87,C141*'Reference Standards'!$AI$86+'Reference Standards'!$AI$87)))),2),
IF(OR($B$14="Huron Erie Lake Plains",$B$14="Eastern Corn Belt Plains"), ROUND(IF(C141&gt;=550,0, IF(C141&lt;=29,1, IF(C141&lt;=70, C141*'Reference Standards'!$AD$118+'Reference Standards'!$AD$119,IF(C141&lt;160,  C141*'Reference Standards'!$AE$118+'Reference Standards'!$AE$119,   C141*'Reference Standards'!$AF$118+'Reference Standards'!$AF$119)))),2)))    ))</f>
        <v/>
      </c>
    </row>
    <row r="142" spans="1:7" ht="15.75" x14ac:dyDescent="0.25">
      <c r="A142" s="386" t="s">
        <v>125</v>
      </c>
      <c r="B142" s="387"/>
      <c r="C142" s="387"/>
      <c r="D142" s="396"/>
    </row>
    <row r="143" spans="1:7" ht="15.75" x14ac:dyDescent="0.25">
      <c r="A143" s="67" t="s">
        <v>2</v>
      </c>
      <c r="B143" s="67" t="s">
        <v>3</v>
      </c>
      <c r="C143" s="228" t="s">
        <v>15</v>
      </c>
      <c r="D143" s="228" t="s">
        <v>16</v>
      </c>
    </row>
    <row r="144" spans="1:7" ht="15.75" x14ac:dyDescent="0.25">
      <c r="A144" s="52" t="s">
        <v>168</v>
      </c>
      <c r="B144" s="53" t="s">
        <v>344</v>
      </c>
      <c r="C144" s="47"/>
      <c r="D144" s="48" t="str">
        <f>IF(C144="","", IF(C144&gt;=60,0, IF(C144&lt;=0,1,ROUND( IF(C144&lt;=5, 'Reference Standards'!C$83*C144+'Reference Standards'!C$84,'Reference Standards'!D$83*LN(C144)+'Reference Standards'!D$84),2))))</f>
        <v/>
      </c>
    </row>
    <row r="145" spans="1:5" ht="15.75" x14ac:dyDescent="0.25">
      <c r="A145" s="168" t="s">
        <v>246</v>
      </c>
      <c r="B145" s="168" t="s">
        <v>277</v>
      </c>
      <c r="C145" s="47"/>
      <c r="D145" s="215" t="str">
        <f>IF(C145="","",  IF(OR($B$14="Northern Lakes and Forests",$B$14="North Central Hardwood Forests"), ROUND(IF(C145&gt;=151,0, IF(C145&lt;=3.9,1, IF(C145&lt;=12, C145*'Reference Standards'!$AD$86+'Reference Standards'!$AD$87,IF(C145&lt;50,C145*'Reference Standards'!$AE$86+'Reference Standards'!$AE$87, C145*'Reference Standards'!$AF$86+'Reference Standards'!$AF$87)))),2),
IF(OR($B$14="Southern Michigan/Northern Indiana Drift Plains"), ROUND(IF(C145&gt;=186,0, IF(C145&lt;=12.5,1, IF(C145&lt;=30, C145*'Reference Standards'!$AG$86+'Reference Standards'!$AG$87,IF(C145&lt;90,C145*'Reference Standards'!$AH$86+'Reference Standards'!$AH$87,C145*'Reference Standards'!$AI$86+'Reference Standards'!$AI$87)))),2),
IF(OR($B$14="Huron Erie Lake Plains",$B$14="Eastern Corn Belt Plains"), ROUND(IF(C145&gt;=550,0, IF(C145&lt;=29,1, IF(C145&lt;=70, C145*'Reference Standards'!$AD$118+'Reference Standards'!$AD$119,IF(C145&lt;160,  C145*'Reference Standards'!$AE$118+'Reference Standards'!$AE$119,   C145*'Reference Standards'!$AF$118+'Reference Standards'!$AF$119)))),2)))    ))</f>
        <v/>
      </c>
    </row>
    <row r="146" spans="1:5" ht="15.75" x14ac:dyDescent="0.25">
      <c r="A146" s="386" t="s">
        <v>126</v>
      </c>
      <c r="B146" s="387"/>
      <c r="C146" s="387"/>
      <c r="D146" s="396"/>
      <c r="E146" s="96"/>
    </row>
    <row r="147" spans="1:5" ht="15.75" x14ac:dyDescent="0.25">
      <c r="A147" s="471" t="s">
        <v>127</v>
      </c>
      <c r="B147" s="472"/>
      <c r="C147" s="303" t="str">
        <f>IFERROR(ROUND(AVERAGE(D140:D141),2),"")</f>
        <v/>
      </c>
      <c r="D147" s="302"/>
      <c r="E147" s="96"/>
    </row>
    <row r="148" spans="1:5" ht="15.75" x14ac:dyDescent="0.25">
      <c r="A148" s="473" t="s">
        <v>128</v>
      </c>
      <c r="B148" s="474"/>
      <c r="C148" s="50" t="str">
        <f>IFERROR(ROUND(AVERAGE(D144:D145),2),"")</f>
        <v/>
      </c>
      <c r="D148" s="302"/>
      <c r="E148" s="96"/>
    </row>
    <row r="149" spans="1:5" ht="15.75" x14ac:dyDescent="0.25">
      <c r="A149" s="473" t="s">
        <v>129</v>
      </c>
      <c r="B149" s="474"/>
      <c r="C149" s="307" t="str">
        <f>IFERROR(ROUND(C147*B137,1),"")</f>
        <v/>
      </c>
      <c r="D149" s="302"/>
      <c r="E149" s="96"/>
    </row>
    <row r="150" spans="1:5" ht="15.75" x14ac:dyDescent="0.25">
      <c r="A150" s="473" t="s">
        <v>130</v>
      </c>
      <c r="B150" s="474"/>
      <c r="C150" s="307" t="str">
        <f>IFERROR(ROUND(C148*B137,1),"")</f>
        <v/>
      </c>
      <c r="D150" s="302"/>
      <c r="E150" s="96"/>
    </row>
    <row r="151" spans="1:5" ht="16.5" thickBot="1" x14ac:dyDescent="0.3">
      <c r="A151" s="400" t="s">
        <v>131</v>
      </c>
      <c r="B151" s="401"/>
      <c r="C151" s="68" t="str">
        <f>IFERROR(C150-C149,"")</f>
        <v/>
      </c>
      <c r="D151" s="304"/>
      <c r="E151" s="96"/>
    </row>
    <row r="152" spans="1:5" ht="15.75" thickTop="1" x14ac:dyDescent="0.25"/>
  </sheetData>
  <sheetProtection algorithmName="SHA-512" hashValue="IMSAlCkOa3AK1WLdpv8luOdhAc/EDoKzDHST3tmXhFi18XTGovAXEa9baEBFfgWwZXHC5EVVwrW6pe7PQ9+T7g==" saltValue="IjlCg210hDw7BNBSVDQGHg==" spinCount="100000" sheet="1" objects="1" scenarios="1"/>
  <dataConsolidate/>
  <mergeCells count="134">
    <mergeCell ref="A138:D138"/>
    <mergeCell ref="A142:D142"/>
    <mergeCell ref="A146:D146"/>
    <mergeCell ref="A147:B147"/>
    <mergeCell ref="A148:B148"/>
    <mergeCell ref="A149:B149"/>
    <mergeCell ref="A150:B150"/>
    <mergeCell ref="A151:B151"/>
    <mergeCell ref="A122:D122"/>
    <mergeCell ref="A127:B127"/>
    <mergeCell ref="A128:B128"/>
    <mergeCell ref="A129:B129"/>
    <mergeCell ref="A130:B130"/>
    <mergeCell ref="A131:B131"/>
    <mergeCell ref="A126:D126"/>
    <mergeCell ref="C135:D137"/>
    <mergeCell ref="B45:B47"/>
    <mergeCell ref="B48:B52"/>
    <mergeCell ref="G48:G52"/>
    <mergeCell ref="B53:B56"/>
    <mergeCell ref="G53:G56"/>
    <mergeCell ref="H44:H56"/>
    <mergeCell ref="A38:F38"/>
    <mergeCell ref="A22:D22"/>
    <mergeCell ref="A66:F66"/>
    <mergeCell ref="A44:A56"/>
    <mergeCell ref="B40:B41"/>
    <mergeCell ref="B42:B43"/>
    <mergeCell ref="F26:G27"/>
    <mergeCell ref="F28:G29"/>
    <mergeCell ref="F30:G31"/>
    <mergeCell ref="F32:G33"/>
    <mergeCell ref="F23:G23"/>
    <mergeCell ref="A42:A43"/>
    <mergeCell ref="H24:H25"/>
    <mergeCell ref="J24:K25"/>
    <mergeCell ref="J26:K27"/>
    <mergeCell ref="H26:H27"/>
    <mergeCell ref="I26:I27"/>
    <mergeCell ref="H28:H29"/>
    <mergeCell ref="C39:D39"/>
    <mergeCell ref="A26:A29"/>
    <mergeCell ref="A30:A33"/>
    <mergeCell ref="A34:A35"/>
    <mergeCell ref="F24:G25"/>
    <mergeCell ref="I28:I29"/>
    <mergeCell ref="J28:K29"/>
    <mergeCell ref="D2:J2"/>
    <mergeCell ref="D3:J3"/>
    <mergeCell ref="A40:A41"/>
    <mergeCell ref="A1:B2"/>
    <mergeCell ref="D1:J1"/>
    <mergeCell ref="H40:H41"/>
    <mergeCell ref="I40:I41"/>
    <mergeCell ref="H13:K13"/>
    <mergeCell ref="D4:J4"/>
    <mergeCell ref="H6:K6"/>
    <mergeCell ref="D6:F6"/>
    <mergeCell ref="F22:K22"/>
    <mergeCell ref="B14:B15"/>
    <mergeCell ref="A14:A15"/>
    <mergeCell ref="H17:J17"/>
    <mergeCell ref="J30:K31"/>
    <mergeCell ref="I30:I31"/>
    <mergeCell ref="H30:H31"/>
    <mergeCell ref="H32:H33"/>
    <mergeCell ref="I32:I33"/>
    <mergeCell ref="J32:K33"/>
    <mergeCell ref="J23:K23"/>
    <mergeCell ref="G38:J38"/>
    <mergeCell ref="I24:I25"/>
    <mergeCell ref="G89:G90"/>
    <mergeCell ref="H99:J99"/>
    <mergeCell ref="H70:H71"/>
    <mergeCell ref="G73:G75"/>
    <mergeCell ref="H57:H60"/>
    <mergeCell ref="H61:H63"/>
    <mergeCell ref="I61:I63"/>
    <mergeCell ref="G40:G41"/>
    <mergeCell ref="G68:G69"/>
    <mergeCell ref="G45:G47"/>
    <mergeCell ref="H68:H69"/>
    <mergeCell ref="I68:I69"/>
    <mergeCell ref="G70:G71"/>
    <mergeCell ref="G61:G62"/>
    <mergeCell ref="G42:G43"/>
    <mergeCell ref="I42:I43"/>
    <mergeCell ref="H42:H43"/>
    <mergeCell ref="J40:J63"/>
    <mergeCell ref="I44:I56"/>
    <mergeCell ref="H72:H84"/>
    <mergeCell ref="I72:I84"/>
    <mergeCell ref="J68:J91"/>
    <mergeCell ref="H89:H91"/>
    <mergeCell ref="I89:I91"/>
    <mergeCell ref="A114:B114"/>
    <mergeCell ref="A134:B134"/>
    <mergeCell ref="A95:B95"/>
    <mergeCell ref="A85:A88"/>
    <mergeCell ref="A89:A91"/>
    <mergeCell ref="B89:B90"/>
    <mergeCell ref="A94:D94"/>
    <mergeCell ref="A118:D118"/>
    <mergeCell ref="A107:D107"/>
    <mergeCell ref="A103:D103"/>
    <mergeCell ref="A99:D99"/>
    <mergeCell ref="A108:B108"/>
    <mergeCell ref="A109:B109"/>
    <mergeCell ref="A110:B110"/>
    <mergeCell ref="A111:B111"/>
    <mergeCell ref="A112:B112"/>
    <mergeCell ref="C95:D95"/>
    <mergeCell ref="C96:D98"/>
    <mergeCell ref="C114:D114"/>
    <mergeCell ref="C115:D117"/>
    <mergeCell ref="C134:D134"/>
    <mergeCell ref="H85:H88"/>
    <mergeCell ref="I57:I60"/>
    <mergeCell ref="A57:A60"/>
    <mergeCell ref="I70:I71"/>
    <mergeCell ref="I85:I88"/>
    <mergeCell ref="B81:B84"/>
    <mergeCell ref="G81:G84"/>
    <mergeCell ref="A70:A71"/>
    <mergeCell ref="B70:B71"/>
    <mergeCell ref="B73:B75"/>
    <mergeCell ref="B76:B80"/>
    <mergeCell ref="A68:A69"/>
    <mergeCell ref="B68:B69"/>
    <mergeCell ref="B61:B62"/>
    <mergeCell ref="A61:A63"/>
    <mergeCell ref="G66:J66"/>
    <mergeCell ref="G76:G80"/>
    <mergeCell ref="C67:D67"/>
  </mergeCells>
  <conditionalFormatting sqref="I61:I62 L110:L116 F54 F94:G95 I70 I85 H57:I57 H42:I42 G38 H64:J65 G66 I89:I90 A1 C21:M21 J23 J26 J28 J30 L1:M4 C18:D18 L17:M20 E67:J67 C1:D3 C11:C17 C4:C9 M96:M101 E39:J39 F63 F42:F43 H40:H41 I40:J40 I68 L94:L95 H72:I72 L104:L107 M112:M131 K38:M41 A36:A37 C36:M37 K65:M86 H44:I44 K103 J101:K101 A19:A21 A67:C67 A16:B18 C19:C20 A3:B14">
    <cfRule type="beginsWith" dxfId="1733" priority="1476" stopIfTrue="1" operator="beginsWith" text="Functioning At Risk">
      <formula>LEFT(A1,LEN("Functioning At Risk"))="Functioning At Risk"</formula>
    </cfRule>
    <cfRule type="beginsWith" dxfId="1732" priority="1477" stopIfTrue="1" operator="beginsWith" text="Not Functioning">
      <formula>LEFT(A1,LEN("Not Functioning"))="Not Functioning"</formula>
    </cfRule>
    <cfRule type="containsText" dxfId="1731" priority="1478" operator="containsText" text="Functioning">
      <formula>NOT(ISERROR(SEARCH("Functioning",A1)))</formula>
    </cfRule>
  </conditionalFormatting>
  <conditionalFormatting sqref="F22">
    <cfRule type="beginsWith" dxfId="1730" priority="1035" stopIfTrue="1" operator="beginsWith" text="Functioning At Risk">
      <formula>LEFT(F22,LEN("Functioning At Risk"))="Functioning At Risk"</formula>
    </cfRule>
    <cfRule type="beginsWith" dxfId="1729" priority="1036" stopIfTrue="1" operator="beginsWith" text="Not Functioning">
      <formula>LEFT(F22,LEN("Not Functioning"))="Not Functioning"</formula>
    </cfRule>
    <cfRule type="containsText" dxfId="1728" priority="1037" operator="containsText" text="Functioning">
      <formula>NOT(ISERROR(SEARCH("Functioning",F22)))</formula>
    </cfRule>
  </conditionalFormatting>
  <conditionalFormatting sqref="H30:I30 H24:I24 C24:D35 H26:I26 H28:I28">
    <cfRule type="cellIs" dxfId="1727" priority="1421" operator="between">
      <formula>0</formula>
      <formula>0.299999</formula>
    </cfRule>
    <cfRule type="cellIs" dxfId="1726" priority="1423" operator="between">
      <formula>0.6999999</formula>
      <formula>0.3</formula>
    </cfRule>
    <cfRule type="cellIs" dxfId="1725" priority="1424" operator="between">
      <formula>0.7</formula>
      <formula>1</formula>
    </cfRule>
  </conditionalFormatting>
  <conditionalFormatting sqref="J32">
    <cfRule type="beginsWith" dxfId="1724" priority="700" stopIfTrue="1" operator="beginsWith" text="Functioning At Risk">
      <formula>LEFT(J32,LEN("Functioning At Risk"))="Functioning At Risk"</formula>
    </cfRule>
    <cfRule type="beginsWith" dxfId="1723" priority="701" stopIfTrue="1" operator="beginsWith" text="Not Functioning">
      <formula>LEFT(J32,LEN("Not Functioning"))="Not Functioning"</formula>
    </cfRule>
    <cfRule type="containsText" dxfId="1722" priority="702" operator="containsText" text="Functioning">
      <formula>NOT(ISERROR(SEARCH("Functioning",J32)))</formula>
    </cfRule>
  </conditionalFormatting>
  <conditionalFormatting sqref="H32:I32">
    <cfRule type="cellIs" dxfId="1721" priority="697" operator="between">
      <formula>0</formula>
      <formula>0.299999</formula>
    </cfRule>
    <cfRule type="cellIs" dxfId="1720" priority="698" operator="between">
      <formula>0.6999999</formula>
      <formula>0.3</formula>
    </cfRule>
    <cfRule type="cellIs" dxfId="1719" priority="699" operator="between">
      <formula>0.7</formula>
      <formula>1</formula>
    </cfRule>
  </conditionalFormatting>
  <conditionalFormatting sqref="D4">
    <cfRule type="beginsWith" dxfId="1718" priority="661" stopIfTrue="1" operator="beginsWith" text="Functioning At Risk">
      <formula>LEFT(D4,LEN("Functioning At Risk"))="Functioning At Risk"</formula>
    </cfRule>
    <cfRule type="beginsWith" dxfId="1717" priority="662" stopIfTrue="1" operator="beginsWith" text="Not Functioning">
      <formula>LEFT(D4,LEN("Not Functioning"))="Not Functioning"</formula>
    </cfRule>
    <cfRule type="containsText" dxfId="1716" priority="663" operator="containsText" text="Functioning">
      <formula>NOT(ISERROR(SEARCH("Functioning",D4)))</formula>
    </cfRule>
  </conditionalFormatting>
  <conditionalFormatting sqref="H85 H70">
    <cfRule type="beginsWith" dxfId="1715" priority="652" stopIfTrue="1" operator="beginsWith" text="Functioning At Risk">
      <formula>LEFT(H70,LEN("Functioning At Risk"))="Functioning At Risk"</formula>
    </cfRule>
    <cfRule type="beginsWith" dxfId="1714" priority="653" stopIfTrue="1" operator="beginsWith" text="Not Functioning">
      <formula>LEFT(H70,LEN("Not Functioning"))="Not Functioning"</formula>
    </cfRule>
    <cfRule type="containsText" dxfId="1713" priority="654" operator="containsText" text="Functioning">
      <formula>NOT(ISERROR(SEARCH("Functioning",H70)))</formula>
    </cfRule>
  </conditionalFormatting>
  <conditionalFormatting sqref="J24">
    <cfRule type="beginsWith" dxfId="1712" priority="496" stopIfTrue="1" operator="beginsWith" text="Functioning At Risk">
      <formula>LEFT(J24,LEN("Functioning At Risk"))="Functioning At Risk"</formula>
    </cfRule>
    <cfRule type="beginsWith" dxfId="1711" priority="497" stopIfTrue="1" operator="beginsWith" text="Not Functioning">
      <formula>LEFT(J24,LEN("Not Functioning"))="Not Functioning"</formula>
    </cfRule>
    <cfRule type="containsText" dxfId="1710" priority="498" operator="containsText" text="Functioning">
      <formula>NOT(ISERROR(SEARCH("Functioning",J24)))</formula>
    </cfRule>
  </conditionalFormatting>
  <conditionalFormatting sqref="H68:H69">
    <cfRule type="beginsWith" dxfId="1709" priority="490" stopIfTrue="1" operator="beginsWith" text="Functioning At Risk">
      <formula>LEFT(H68,LEN("Functioning At Risk"))="Functioning At Risk"</formula>
    </cfRule>
    <cfRule type="beginsWith" dxfId="1708" priority="491" stopIfTrue="1" operator="beginsWith" text="Not Functioning">
      <formula>LEFT(H68,LEN("Not Functioning"))="Not Functioning"</formula>
    </cfRule>
    <cfRule type="containsText" dxfId="1707" priority="492" operator="containsText" text="Functioning">
      <formula>NOT(ISERROR(SEARCH("Functioning",H68)))</formula>
    </cfRule>
  </conditionalFormatting>
  <conditionalFormatting sqref="F61:F62">
    <cfRule type="beginsWith" dxfId="1706" priority="371" stopIfTrue="1" operator="beginsWith" text="Functioning At Risk">
      <formula>LEFT(F61,LEN("Functioning At Risk"))="Functioning At Risk"</formula>
    </cfRule>
    <cfRule type="beginsWith" dxfId="1705" priority="372" stopIfTrue="1" operator="beginsWith" text="Not Functioning">
      <formula>LEFT(F61,LEN("Not Functioning"))="Not Functioning"</formula>
    </cfRule>
    <cfRule type="containsText" dxfId="1704" priority="373" operator="containsText" text="Functioning">
      <formula>NOT(ISERROR(SEARCH("Functioning",F61)))</formula>
    </cfRule>
  </conditionalFormatting>
  <conditionalFormatting sqref="F44">
    <cfRule type="beginsWith" dxfId="1703" priority="352" stopIfTrue="1" operator="beginsWith" text="Functioning At Risk">
      <formula>LEFT(F44,LEN("Functioning At Risk"))="Functioning At Risk"</formula>
    </cfRule>
    <cfRule type="beginsWith" dxfId="1702" priority="353" stopIfTrue="1" operator="beginsWith" text="Not Functioning">
      <formula>LEFT(F44,LEN("Not Functioning"))="Not Functioning"</formula>
    </cfRule>
    <cfRule type="containsText" dxfId="1701" priority="354" operator="containsText" text="Functioning">
      <formula>NOT(ISERROR(SEARCH("Functioning",F44)))</formula>
    </cfRule>
  </conditionalFormatting>
  <conditionalFormatting sqref="J68">
    <cfRule type="beginsWith" dxfId="1700" priority="313" stopIfTrue="1" operator="beginsWith" text="Functioning At Risk">
      <formula>LEFT(J68,LEN("Functioning At Risk"))="Functioning At Risk"</formula>
    </cfRule>
    <cfRule type="beginsWith" dxfId="1699" priority="314" stopIfTrue="1" operator="beginsWith" text="Not Functioning">
      <formula>LEFT(J68,LEN("Not Functioning"))="Not Functioning"</formula>
    </cfRule>
    <cfRule type="containsText" dxfId="1698" priority="315" operator="containsText" text="Functioning">
      <formula>NOT(ISERROR(SEARCH("Functioning",J68)))</formula>
    </cfRule>
  </conditionalFormatting>
  <conditionalFormatting sqref="C102">
    <cfRule type="expression" dxfId="1697" priority="4170">
      <formula>#REF!="Level 4 - Physicochemical"</formula>
    </cfRule>
    <cfRule type="expression" dxfId="1696" priority="4171">
      <formula>#REF!="Level 5 - Biology"</formula>
    </cfRule>
  </conditionalFormatting>
  <conditionalFormatting sqref="C106">
    <cfRule type="expression" dxfId="1695" priority="4172">
      <formula>#REF!="Level 4 - Physicochemical"</formula>
    </cfRule>
    <cfRule type="expression" dxfId="1694" priority="4173">
      <formula>#REF!="Level 5 - Biology"</formula>
    </cfRule>
  </conditionalFormatting>
  <conditionalFormatting sqref="F82 F91 F70:F71">
    <cfRule type="beginsWith" dxfId="1693" priority="70" stopIfTrue="1" operator="beginsWith" text="Functioning At Risk">
      <formula>LEFT(F70,LEN("Functioning At Risk"))="Functioning At Risk"</formula>
    </cfRule>
    <cfRule type="beginsWith" dxfId="1692" priority="71" stopIfTrue="1" operator="beginsWith" text="Not Functioning">
      <formula>LEFT(F70,LEN("Not Functioning"))="Not Functioning"</formula>
    </cfRule>
    <cfRule type="containsText" dxfId="1691" priority="72" operator="containsText" text="Functioning">
      <formula>NOT(ISERROR(SEARCH("Functioning",F70)))</formula>
    </cfRule>
  </conditionalFormatting>
  <conditionalFormatting sqref="F89:F90">
    <cfRule type="beginsWith" dxfId="1690" priority="67" stopIfTrue="1" operator="beginsWith" text="Functioning At Risk">
      <formula>LEFT(F89,LEN("Functioning At Risk"))="Functioning At Risk"</formula>
    </cfRule>
    <cfRule type="beginsWith" dxfId="1689" priority="68" stopIfTrue="1" operator="beginsWith" text="Not Functioning">
      <formula>LEFT(F89,LEN("Not Functioning"))="Not Functioning"</formula>
    </cfRule>
    <cfRule type="containsText" dxfId="1688" priority="69" operator="containsText" text="Functioning">
      <formula>NOT(ISERROR(SEARCH("Functioning",F89)))</formula>
    </cfRule>
  </conditionalFormatting>
  <conditionalFormatting sqref="F72">
    <cfRule type="beginsWith" dxfId="1687" priority="64" stopIfTrue="1" operator="beginsWith" text="Functioning At Risk">
      <formula>LEFT(F72,LEN("Functioning At Risk"))="Functioning At Risk"</formula>
    </cfRule>
    <cfRule type="beginsWith" dxfId="1686" priority="65" stopIfTrue="1" operator="beginsWith" text="Not Functioning">
      <formula>LEFT(F72,LEN("Not Functioning"))="Not Functioning"</formula>
    </cfRule>
    <cfRule type="containsText" dxfId="1685" priority="66" operator="containsText" text="Functioning">
      <formula>NOT(ISERROR(SEARCH("Functioning",F72)))</formula>
    </cfRule>
  </conditionalFormatting>
  <dataValidations xWindow="656" yWindow="505" count="14">
    <dataValidation type="list" allowBlank="1" showErrorMessage="1" sqref="B8" xr:uid="{00000000-0002-0000-0300-000000000000}">
      <formula1>StreamType</formula1>
    </dataValidation>
    <dataValidation allowBlank="1" showErrorMessage="1" sqref="E63 B11 E91 B6:B7" xr:uid="{00000000-0002-0000-0300-000001000000}"/>
    <dataValidation type="list" allowBlank="1" showErrorMessage="1" sqref="B16" xr:uid="{00000000-0002-0000-0300-000002000000}">
      <formula1>BedMaterial</formula1>
    </dataValidation>
    <dataValidation type="list" allowBlank="1" showErrorMessage="1" prompt="Select the dominant BEHI/NBS.  _x000a_If erosion rate was measured select blank. The user should only input a value for either BEHI/NBS or Erosion Rate, not both. " sqref="E45 E73" xr:uid="{00000000-0002-0000-0300-000003000000}">
      <formula1>BEHI.NBS</formula1>
    </dataValidation>
    <dataValidation type="list" allowBlank="1" showErrorMessage="1" sqref="B13" xr:uid="{00000000-0002-0000-0300-000004000000}">
      <formula1>Flow.Type</formula1>
    </dataValidation>
    <dataValidation type="list" allowBlank="1" showErrorMessage="1" sqref="B14" xr:uid="{00000000-0002-0000-0300-000006000000}">
      <formula1>Region</formula1>
    </dataValidation>
    <dataValidation type="list" allowBlank="1" showErrorMessage="1" prompt="If coldwater stream enter stream temperature in field value. If not a coldwater stream leave blank." sqref="B18" xr:uid="{00000000-0002-0000-0300-000008000000}">
      <formula1>WaterTypes</formula1>
    </dataValidation>
    <dataValidation allowBlank="1" showErrorMessage="1" prompt="Leave field value blank if not a coldwater stream." sqref="E57 E85" xr:uid="{00000000-0002-0000-0300-000009000000}"/>
    <dataValidation allowBlank="1" showErrorMessage="1" prompt="Select catchment conditon level from the completed catchment assessment form. " sqref="E40:E41 E68:E69" xr:uid="{00000000-0002-0000-0300-00000A000000}"/>
    <dataValidation allowBlank="1" showErrorMessage="1" prompt="The user should input a value for either BEHI/NBS or Erosion Rate, not both. " sqref="E47 E75" xr:uid="{00000000-0002-0000-0300-00000B000000}"/>
    <dataValidation allowBlank="1" showErrorMessage="1" prompt="This measurement method should be used in combination with either Erosion Rate or Dominant BEHI/NBS." sqref="E46 E74" xr:uid="{00000000-0002-0000-0300-00000C000000}"/>
    <dataValidation type="decimal" allowBlank="1" showInputMessage="1" showErrorMessage="1" sqref="E48:E52 E76:E80" xr:uid="{00000000-0002-0000-0300-00000E000000}">
      <formula1>0</formula1>
      <formula2>5280</formula2>
    </dataValidation>
    <dataValidation showDropDown="1" showInputMessage="1" showErrorMessage="1" prompt="Value pulled from Project Catchment Assessment worksheet" sqref="B5" xr:uid="{F8EE2BA9-11D7-4783-9F55-C485CF2D7370}"/>
    <dataValidation allowBlank="1" showInputMessage="1" showErrorMessage="1" prompt="Value pulled from Project Assessment worksheet" sqref="B3:B4" xr:uid="{529F9F65-350C-4553-A962-73F86AD524A6}"/>
  </dataValidations>
  <pageMargins left="0.25" right="0.25" top="0.75" bottom="0.75" header="0.3" footer="0.3"/>
  <pageSetup paperSize="3" fitToWidth="0" fitToHeight="0" orientation="landscape" r:id="rId1"/>
  <headerFooter>
    <oddFooter>&amp;LMiSQT v1
Quantification Tool</oddFooter>
  </headerFooter>
  <rowBreaks count="4" manualBreakCount="4">
    <brk id="36" max="10" man="1"/>
    <brk id="64" max="10" man="1"/>
    <brk id="93" max="16383" man="1"/>
    <brk id="132" max="10" man="1"/>
  </rowBreaks>
  <legacyDrawing r:id="rId2"/>
  <extLst>
    <ext xmlns:x14="http://schemas.microsoft.com/office/spreadsheetml/2009/9/main" uri="{CCE6A557-97BC-4b89-ADB6-D9C93CAAB3DF}">
      <x14:dataValidations xmlns:xm="http://schemas.microsoft.com/office/excel/2006/main" xWindow="656" yWindow="505" count="6">
        <x14:dataValidation type="list" allowBlank="1" showInputMessage="1" showErrorMessage="1" xr:uid="{00000000-0002-0000-0300-000011000000}">
          <x14:formula1>
            <xm:f>'Pull Down Notes'!$B$109:$B$112</xm:f>
          </x14:formula1>
          <xm:sqref>B10:B11 B13</xm:sqref>
        </x14:dataValidation>
        <x14:dataValidation type="list" allowBlank="1" showErrorMessage="1" xr:uid="{00000000-0002-0000-0300-000012000000}">
          <x14:formula1>
            <xm:f>'Pull Down Notes'!$B$123:$B$125</xm:f>
          </x14:formula1>
          <xm:sqref>B19</xm:sqref>
        </x14:dataValidation>
        <x14:dataValidation type="list" allowBlank="1" showErrorMessage="1" xr:uid="{00000000-0002-0000-0300-000013000000}">
          <x14:formula1>
            <xm:f>'Pull Down Notes'!$B$1:$B$6</xm:f>
          </x14:formula1>
          <xm:sqref>B9:B11 B13</xm:sqref>
        </x14:dataValidation>
        <x14:dataValidation type="list" allowBlank="1" showErrorMessage="1" xr:uid="{7A4D2A7C-A747-4AB3-8996-1ACCB33A6E78}">
          <x14:formula1>
            <xm:f>'Pull Down Notes'!$B$127:$B$130</xm:f>
          </x14:formula1>
          <xm:sqref>B20 B13</xm:sqref>
        </x14:dataValidation>
        <x14:dataValidation type="list" allowBlank="1" showErrorMessage="1" xr:uid="{373BDD37-1E36-43C6-89FC-05CFDCC30B48}">
          <x14:formula1>
            <xm:f>'Pull Down Notes'!$B$132:$B$136</xm:f>
          </x14:formula1>
          <xm:sqref>B12</xm:sqref>
        </x14:dataValidation>
        <x14:dataValidation type="list" allowBlank="1" showInputMessage="1" showErrorMessage="1" xr:uid="{FFF750A2-4331-46C4-A7F3-447A18427E1B}">
          <x14:formula1>
            <xm:f>'Pull Down Notes'!$B$132:$B$136</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313"/>
  <sheetViews>
    <sheetView topLeftCell="A58" zoomScaleNormal="100" zoomScaleSheetLayoutView="100" workbookViewId="0">
      <selection activeCell="H89" sqref="H89:H90"/>
    </sheetView>
  </sheetViews>
  <sheetFormatPr defaultColWidth="8.7109375" defaultRowHeight="15" x14ac:dyDescent="0.25"/>
  <cols>
    <col min="1" max="1" width="24.85546875" customWidth="1"/>
    <col min="2" max="2" width="25.7109375" customWidth="1"/>
    <col min="3" max="3" width="23.42578125" customWidth="1"/>
    <col min="4" max="4" width="25.140625" customWidth="1"/>
    <col min="5" max="6" width="10.5703125" customWidth="1"/>
    <col min="7" max="8" width="13.5703125" customWidth="1"/>
    <col min="9" max="9" width="13.5703125" style="251" customWidth="1"/>
    <col min="10" max="10" width="10.28515625" customWidth="1"/>
    <col min="11" max="11" width="18.5703125" customWidth="1"/>
    <col min="12" max="12" width="13.7109375" customWidth="1"/>
  </cols>
  <sheetData>
    <row r="1" spans="1:14" ht="21" x14ac:dyDescent="0.35">
      <c r="A1" s="383" t="s">
        <v>174</v>
      </c>
      <c r="B1" s="385"/>
      <c r="C1" s="130" t="s">
        <v>183</v>
      </c>
      <c r="D1" s="129"/>
      <c r="E1" s="126"/>
      <c r="F1" s="127"/>
      <c r="G1" s="383" t="s">
        <v>17</v>
      </c>
      <c r="H1" s="384"/>
      <c r="I1" s="384"/>
      <c r="J1" s="385"/>
    </row>
    <row r="2" spans="1:14" ht="31.5" x14ac:dyDescent="0.25">
      <c r="A2" s="237" t="s">
        <v>1</v>
      </c>
      <c r="B2" s="246" t="s">
        <v>2</v>
      </c>
      <c r="C2" s="386" t="s">
        <v>346</v>
      </c>
      <c r="D2" s="396"/>
      <c r="E2" s="246" t="s">
        <v>15</v>
      </c>
      <c r="F2" s="246" t="s">
        <v>16</v>
      </c>
      <c r="G2" s="51" t="s">
        <v>18</v>
      </c>
      <c r="H2" s="51" t="s">
        <v>19</v>
      </c>
      <c r="I2" s="246" t="s">
        <v>19</v>
      </c>
      <c r="J2" s="51" t="s">
        <v>20</v>
      </c>
    </row>
    <row r="3" spans="1:14" ht="15.75" x14ac:dyDescent="0.25">
      <c r="A3" s="375" t="s">
        <v>62</v>
      </c>
      <c r="B3" s="376" t="s">
        <v>168</v>
      </c>
      <c r="C3" s="108" t="s">
        <v>217</v>
      </c>
      <c r="D3" s="107"/>
      <c r="E3" s="106"/>
      <c r="F3" s="204" t="str">
        <f>IF(E3="","",IF(E3&gt;81,0,IF(E3&lt;=30,1,ROUND(IF(E3&gt;55,'Reference Standards'!C$14*E3+'Reference Standards'!C$15,'Reference Standards'!D$14*E3+'Reference Standards'!D$15),2))))</f>
        <v/>
      </c>
      <c r="G3" s="415" t="str">
        <f>IFERROR(AVERAGE(F3:F4),"")</f>
        <v/>
      </c>
      <c r="H3" s="415" t="str">
        <f>IFERROR(ROUND(AVERAGE(G3),2),"")</f>
        <v/>
      </c>
      <c r="I3" s="364" t="str">
        <f>IF(H3="","",IF(H3&gt;0.69,"Functioning",IF(H3&gt;0.29,"Functioning At Risk",IF(H3&gt;-1,"Not Functioning"))))</f>
        <v/>
      </c>
      <c r="J3" s="421" t="str">
        <f>IF(AND(H3="",H5="",H7="",H20="",H24=""),"",ROUND((IF(H3="",0,H3)*0.2)+(IF(H5="",0,H5)*0.2)+(IF(H7="",0,H7)*0.2)+(IF(H20="",0,H20)*0.2)+(IF(H24="",0,H24)*0.2),2))</f>
        <v/>
      </c>
      <c r="M3" s="13"/>
    </row>
    <row r="4" spans="1:14" ht="15.75" x14ac:dyDescent="0.25">
      <c r="A4" s="375"/>
      <c r="B4" s="377"/>
      <c r="C4" s="109" t="s">
        <v>338</v>
      </c>
      <c r="D4" s="54"/>
      <c r="E4" s="124"/>
      <c r="F4" s="205" t="str">
        <f>IF(E4="","",IF(E4&gt;=3.33,0,IF(E4=0,1,ROUND('Reference Standards'!C$47*E4+'Reference Standards'!C$48,2))))</f>
        <v/>
      </c>
      <c r="G4" s="416"/>
      <c r="H4" s="417"/>
      <c r="I4" s="365"/>
      <c r="J4" s="422"/>
      <c r="M4" s="13"/>
    </row>
    <row r="5" spans="1:14" ht="15.75" x14ac:dyDescent="0.25">
      <c r="A5" s="372" t="s">
        <v>6</v>
      </c>
      <c r="B5" s="374" t="s">
        <v>7</v>
      </c>
      <c r="C5" s="55" t="s">
        <v>8</v>
      </c>
      <c r="D5" s="166"/>
      <c r="E5" s="123"/>
      <c r="F5" s="206" t="str">
        <f>IF(E5="","",ROUND(IF(E5&gt;=1.714,0,    IF(E5&lt;=1,1,E5*'Reference Standards'!$L$13+'Reference Standards'!$L$14)),2))</f>
        <v/>
      </c>
      <c r="G5" s="411" t="str">
        <f>IFERROR(AVERAGE(F5:F6),"")</f>
        <v/>
      </c>
      <c r="H5" s="411" t="str">
        <f>IFERROR(ROUND(AVERAGE(G5),2),"")</f>
        <v/>
      </c>
      <c r="I5" s="364" t="str">
        <f>IF(H5="","",IF(H5&gt;0.69,"Functioning",IF(H5&gt;0.29,"Functioning At Risk",IF(H5&gt;-1,"Not Functioning"))))</f>
        <v/>
      </c>
      <c r="J5" s="422"/>
      <c r="M5" s="13"/>
      <c r="N5" s="13"/>
    </row>
    <row r="6" spans="1:14" ht="15.75" x14ac:dyDescent="0.25">
      <c r="A6" s="373"/>
      <c r="B6" s="373"/>
      <c r="C6" s="164" t="s">
        <v>9</v>
      </c>
      <c r="D6" s="165"/>
      <c r="E6" s="124"/>
      <c r="F6" s="207" t="str">
        <f>IF(E6="","",IF(OR('Quantification Tool'!$B$9="A",'Quantification Tool'!$B$9="B", 'Quantification Tool'!$B$9="Bc"),IF(E6&lt;=1.05,0,IF(E6&gt;=2.2,1,ROUND(IF(E6&lt;1.4,E6*'Reference Standards'!$L$83+'Reference Standards'!$L$84,E6*'Reference Standards'!$M$83+'Reference Standards'!$M$84),2))),IF(OR('Quantification Tool'!$B$9="C",'Quantification Tool'!$B$9="E"),IF(E6&lt;1.7,0,IF(E6&gt;=5,1,ROUND(IF(E6&lt;2.4,E6*'Reference Standards'!$M$48+'Reference Standards'!$M$49,E6*'Reference Standards'!$L$48+'Reference Standards'!$L$49),2))))))</f>
        <v/>
      </c>
      <c r="G6" s="412"/>
      <c r="H6" s="412"/>
      <c r="I6" s="365"/>
      <c r="J6" s="422"/>
      <c r="M6" s="13"/>
      <c r="N6" s="13"/>
    </row>
    <row r="7" spans="1:14" ht="15.75" customHeight="1" x14ac:dyDescent="0.25">
      <c r="A7" s="366" t="s">
        <v>27</v>
      </c>
      <c r="B7" s="265" t="s">
        <v>28</v>
      </c>
      <c r="C7" s="266" t="s">
        <v>24</v>
      </c>
      <c r="D7" s="267"/>
      <c r="E7" s="47"/>
      <c r="F7" s="77" t="str">
        <f>IF(E7="","",IF(E7&gt;=2825,1,IF(E7&lt;=0,0, ROUND(IF(E7&lt;1350,E7*'Reference Standards'!$U$13+'Reference Standards'!$U$14,E7*'Reference Standards'!$V$13+'Reference Standards'!$V$14),2))))</f>
        <v/>
      </c>
      <c r="G7" s="262" t="str">
        <f>IFERROR(AVERAGE(F7:F7),"")</f>
        <v/>
      </c>
      <c r="H7" s="369" t="str">
        <f>IFERROR(ROUND(AVERAGE(G7:G19),2),"")</f>
        <v/>
      </c>
      <c r="I7" s="364" t="str">
        <f>IF(H7="","",IF(H7&gt;0.69,"Functioning",IF(H7&gt;0.29,"Functioning At Risk",IF(H7&gt;-1,"Not Functioning"))))</f>
        <v/>
      </c>
      <c r="J7" s="422"/>
      <c r="M7" s="13"/>
      <c r="N7" s="13"/>
    </row>
    <row r="8" spans="1:14" ht="15.75" x14ac:dyDescent="0.25">
      <c r="A8" s="367"/>
      <c r="B8" s="366" t="s">
        <v>241</v>
      </c>
      <c r="C8" s="56" t="s">
        <v>51</v>
      </c>
      <c r="D8" s="56"/>
      <c r="E8" s="305"/>
      <c r="F8" s="225" t="str">
        <f>IF(E8="","",IF(OR(E8="Ex/Ex",E8="Ex/VH",E8="Ex/H",E8="Ex/M",E8="VH/Ex",E8="VH/VH", E8="H/Ex",E8="H/VH"),0, IF(OR(E8="M/Ex"),0.1,IF(OR(E8="VH/H",E8="VH/M",E8="H/H",E8="H/M", E8="M/VH"),0.2, IF(OR(E8="Ex/VL",E8="Ex/L", E8="M/H"),0.3, IF(OR(E8="VH/L",E8="H/L"),0.4, IF(OR(E8="VH/VL",E8="H/VL",E8="M/M"),0.5, IF(OR(E8="M/L",E8="L/Ex"),0.6, IF(OR(E8="M/VL",E8="L/VH", E8="L/H",E8="L/M",E8="L/L",E8="L/VL", LEFT(E8,2)="VL"),1)))))))))</f>
        <v/>
      </c>
      <c r="G8" s="418" t="str">
        <f>IFERROR(AVERAGE(F8:F10),"")</f>
        <v/>
      </c>
      <c r="H8" s="370"/>
      <c r="I8" s="424"/>
      <c r="J8" s="422"/>
      <c r="M8" s="13"/>
      <c r="N8" s="13"/>
    </row>
    <row r="9" spans="1:14" ht="15.75" x14ac:dyDescent="0.25">
      <c r="A9" s="367"/>
      <c r="B9" s="367"/>
      <c r="C9" s="57" t="s">
        <v>108</v>
      </c>
      <c r="D9" s="57"/>
      <c r="E9" s="123"/>
      <c r="F9" s="77" t="str">
        <f>IF(E9="","",ROUND(IF(E9&gt;=75,0,IF(E9&lt;=5,1,IF(E9&gt;10,E9*'Reference Standards'!U$48+'Reference Standards'!U$49,E9*'Reference Standards'!V$48+'Reference Standards'!V$49 ))),2))</f>
        <v/>
      </c>
      <c r="G9" s="418"/>
      <c r="H9" s="370"/>
      <c r="I9" s="424"/>
      <c r="J9" s="422"/>
      <c r="M9" s="13"/>
      <c r="N9" s="13"/>
    </row>
    <row r="10" spans="1:14" ht="15.75" x14ac:dyDescent="0.25">
      <c r="A10" s="367"/>
      <c r="B10" s="368"/>
      <c r="C10" s="56" t="s">
        <v>336</v>
      </c>
      <c r="D10" s="56"/>
      <c r="E10" s="124"/>
      <c r="F10" s="208" t="str">
        <f>IF(E10="","",IF(E10&gt;=30,0,IF(E10&lt;=0,1,ROUND(E10*'Reference Standards'!$U$81+'Reference Standards'!$U$82,2))))</f>
        <v/>
      </c>
      <c r="G10" s="418"/>
      <c r="H10" s="370"/>
      <c r="I10" s="424"/>
      <c r="J10" s="422"/>
      <c r="M10" s="13"/>
      <c r="N10" s="13"/>
    </row>
    <row r="11" spans="1:14" ht="15.75" x14ac:dyDescent="0.25">
      <c r="A11" s="367"/>
      <c r="B11" s="366" t="s">
        <v>52</v>
      </c>
      <c r="C11" s="58" t="s">
        <v>335</v>
      </c>
      <c r="D11" s="61"/>
      <c r="E11" s="106"/>
      <c r="F11" s="77" t="str">
        <f>IF(E11="","",IF(E11&gt;=150,1,IF(E11&lt;=0,0,ROUND(E11^2*'Reference Standards'!$U$115+E11*'Reference Standards'!$U$116+'Reference Standards'!$U$117,2))))</f>
        <v/>
      </c>
      <c r="G11" s="369" t="str">
        <f>IFERROR(AVERAGE(F11:F15),"")</f>
        <v/>
      </c>
      <c r="H11" s="370"/>
      <c r="I11" s="424"/>
      <c r="J11" s="422"/>
      <c r="M11" s="13"/>
      <c r="N11" s="13"/>
    </row>
    <row r="12" spans="1:14" ht="15.75" x14ac:dyDescent="0.25">
      <c r="A12" s="367"/>
      <c r="B12" s="367"/>
      <c r="C12" s="59" t="s">
        <v>355</v>
      </c>
      <c r="D12" s="56"/>
      <c r="E12" s="149"/>
      <c r="F12" s="77" t="str">
        <f>IF(E12="","",IF('Quantification Tool'!$B$20="Forested",IF(E12&gt;=12,1,IF(E12&lt;=0,0,ROUND(E12*'Reference Standards'!$U$149+'Reference Standards'!$U$150,2)))))</f>
        <v/>
      </c>
      <c r="G12" s="370"/>
      <c r="H12" s="370"/>
      <c r="I12" s="424"/>
      <c r="J12" s="422"/>
      <c r="M12" s="13"/>
      <c r="N12" s="13"/>
    </row>
    <row r="13" spans="1:14" ht="15.75" x14ac:dyDescent="0.25">
      <c r="A13" s="367"/>
      <c r="B13" s="367"/>
      <c r="C13" s="59" t="s">
        <v>356</v>
      </c>
      <c r="D13" s="56"/>
      <c r="E13" s="123"/>
      <c r="F13" s="77" t="str">
        <f>IF(E13="","",IF('Quantification Tool'!$B$20="Forested",IF(AND(E13&gt;=95,E13&lt;=200),1,IF(E13&lt;=0,0,IF(E13&gt;=300,0.5,IF(E13&lt;100,ROUND(E13*'Reference Standards'!$U$184+'Reference Standards'!$U$185,2),ROUND(E13*'Reference Standards'!$V$184+'Reference Standards'!$V$185,2)))))))</f>
        <v/>
      </c>
      <c r="G13" s="370"/>
      <c r="H13" s="370"/>
      <c r="I13" s="424"/>
      <c r="J13" s="422"/>
      <c r="M13" s="13"/>
      <c r="N13" s="13"/>
    </row>
    <row r="14" spans="1:14" ht="15.75" x14ac:dyDescent="0.25">
      <c r="A14" s="367"/>
      <c r="B14" s="367"/>
      <c r="C14" s="59" t="s">
        <v>391</v>
      </c>
      <c r="D14" s="200"/>
      <c r="E14" s="123"/>
      <c r="F14" s="77" t="str">
        <f>IF(E14="","",IF('Quantification Tool'!$B$20="Forested",IF(E14&gt;=100,1,ROUND(E14*'Reference Standards'!$U$219+'Reference Standards'!$U$220,2)),IF('Quantification Tool'!$B$20="Scrub-shrub",IF(E14&gt;=470,1,ROUND(E14*'Reference Standards'!$V$219+'Reference Standards'!$V$220,2)))))</f>
        <v/>
      </c>
      <c r="G14" s="370"/>
      <c r="H14" s="370"/>
      <c r="I14" s="424"/>
      <c r="J14" s="422"/>
      <c r="M14" s="13"/>
      <c r="N14" s="13"/>
    </row>
    <row r="15" spans="1:14" ht="15.75" x14ac:dyDescent="0.25">
      <c r="A15" s="367"/>
      <c r="B15" s="367"/>
      <c r="C15" s="60" t="s">
        <v>354</v>
      </c>
      <c r="D15" s="62"/>
      <c r="E15" s="123"/>
      <c r="F15" s="77" t="str">
        <f>IF(E15="","",IF('Quantification Tool'!$B$20="Herbaceous",IF(E15&gt;=80,1,IF(E15&lt;=0,0,ROUND(E15*'Reference Standards'!$U$251+'Reference Standards'!$U$252,2)))))</f>
        <v/>
      </c>
      <c r="G15" s="370"/>
      <c r="H15" s="370"/>
      <c r="I15" s="424"/>
      <c r="J15" s="422"/>
      <c r="M15" s="13"/>
      <c r="N15" s="13"/>
    </row>
    <row r="16" spans="1:14" ht="15.75" x14ac:dyDescent="0.25">
      <c r="A16" s="367"/>
      <c r="B16" s="366" t="s">
        <v>53</v>
      </c>
      <c r="C16" s="61" t="s">
        <v>54</v>
      </c>
      <c r="D16" s="61"/>
      <c r="E16" s="150"/>
      <c r="F16" s="209" t="str">
        <f>IF(E16="","",IF(OR('Quantification Tool'!$B$9="C",'Quantification Tool'!$B$9="E"),ROUND(IF(OR(E16&lt;=1,E16&gt;=9),0,IF(AND(E16&gt;=3.5,E16&lt;=6),1,IF(E16&lt;3.5,E16*'Reference Standards'!$U$289+'Reference Standards'!$U$290,E16*'Reference Standards'!$V$289+'Reference Standards'!$V$290))),2),IF(OR('Quantification Tool'!$B$9="A",'Quantification Tool'!$B$9="B"),ROUND(IF(OR(E16&gt;=6.5,E16=0),0,IF(E16&lt;=4,1,E16^2*'Reference Standards'!$U$320+E16*'Reference Standards'!$U$321+'Reference Standards'!$U$322)),2),IF('Quantification Tool'!$B$9="Bc",ROUND(IF(E16&gt;=8,0,IF(E16&lt;=5,1,E16^2*'Reference Standards'!$U$352+E16*'Reference Standards'!$U$353+'Reference Standards'!$U$354)),2)))))</f>
        <v/>
      </c>
      <c r="G16" s="462" t="str">
        <f>IFERROR(AVERAGE(F16:F19),"")</f>
        <v/>
      </c>
      <c r="H16" s="370"/>
      <c r="I16" s="424"/>
      <c r="J16" s="422"/>
      <c r="M16" s="13"/>
      <c r="N16" s="13"/>
    </row>
    <row r="17" spans="1:14" ht="15.75" x14ac:dyDescent="0.25">
      <c r="A17" s="367"/>
      <c r="B17" s="367"/>
      <c r="C17" s="56" t="s">
        <v>55</v>
      </c>
      <c r="D17" s="56"/>
      <c r="E17" s="149"/>
      <c r="F17" s="77" t="str">
        <f>IF(E17="","", ROUND(  IF(E17&lt;=1.1,0, IF(E17&gt;=3,1, IF(E17&lt;2, E17^2*'Reference Standards'!$U$387+  E17*'Reference Standards'!$U$388 + 'Reference Standards'!$U$389,     E17^2*'Reference Standards'!$V$387+  E17*'Reference Standards'!$V$388 + 'Reference Standards'!$V$389))),2))</f>
        <v/>
      </c>
      <c r="G17" s="461"/>
      <c r="H17" s="370"/>
      <c r="I17" s="424"/>
      <c r="J17" s="422"/>
      <c r="M17" s="13"/>
      <c r="N17" s="13"/>
    </row>
    <row r="18" spans="1:14" ht="15.75" x14ac:dyDescent="0.25">
      <c r="A18" s="367"/>
      <c r="B18" s="367"/>
      <c r="C18" s="56" t="s">
        <v>337</v>
      </c>
      <c r="D18" s="56"/>
      <c r="E18" s="149"/>
      <c r="F18" s="210" t="str">
        <f>IF(E18="","", IF(OR('Quantification Tool'!$B$9="A",LEFT('Quantification Tool'!$B$9,1)="B"), ROUND(IF(OR(E18&lt;=20,E18&gt;=90),0,IF(AND(E18&gt;=50,E18&lt;=60),1,IF(E18&lt;50, E18*'Reference Standards'!$U$422+'Reference Standards'!$U$423, E18*'Reference Standards'!$V$422+'Reference Standards'!$V$423))),2),   IF(OR('Quantification Tool'!$B$9="C",'Quantification Tool'!$B$9="E"), ROUND(IF(OR(E18&lt;=20,E18&gt;=85),0, IF(AND(E18&lt;=65,E18&gt;=45), 1, IF(E18&lt;45, E18*'Reference Standards'!$U$457+'Reference Standards'!$U$458,E18*'Reference Standards'!$V$457+'Reference Standards'!$V$458 ))),2)   )  ))</f>
        <v/>
      </c>
      <c r="G18" s="461"/>
      <c r="H18" s="370"/>
      <c r="I18" s="424"/>
      <c r="J18" s="422"/>
      <c r="M18" s="13"/>
      <c r="N18" s="13"/>
    </row>
    <row r="19" spans="1:14" ht="15.75" x14ac:dyDescent="0.25">
      <c r="A19" s="368"/>
      <c r="B19" s="368"/>
      <c r="C19" s="62" t="s">
        <v>180</v>
      </c>
      <c r="D19" s="62"/>
      <c r="E19" s="151"/>
      <c r="F19" s="299" t="str">
        <f>IF(E19="","",IF(E19&gt;=1.6,0,IF(E19&lt;=1,1,ROUND('Reference Standards'!$U$489*E19^3+'Reference Standards'!$U$490*E19^2+'Reference Standards'!$U$491*E19+'Reference Standards'!$U$492,2))))</f>
        <v/>
      </c>
      <c r="G19" s="463"/>
      <c r="H19" s="371"/>
      <c r="I19" s="365"/>
      <c r="J19" s="422"/>
      <c r="M19" s="13"/>
      <c r="N19" s="13"/>
    </row>
    <row r="20" spans="1:14" ht="15.75" x14ac:dyDescent="0.25">
      <c r="A20" s="361" t="s">
        <v>59</v>
      </c>
      <c r="B20" s="231" t="s">
        <v>94</v>
      </c>
      <c r="C20" s="63" t="s">
        <v>245</v>
      </c>
      <c r="D20" s="63"/>
      <c r="E20" s="47"/>
      <c r="F20" s="79" t="str">
        <f>IF(E20="","",IF('Quantification Tool'!$B$18="Coldwater",
ROUND(IF(E20&gt;=69.3,0,
IF(E20&lt;=59,1,E20*'Reference Standards'!$AD$16+'Reference Standards'!$AD$17)),2),                                   IF('Quantification Tool'!$B$18="Cold-transitional",
ROUND(IF(E20&gt;=71.38,0,
IF(E20&lt;=66.2,1,E20*'Reference Standards'!$AE$16+'Reference Standards'!$AE$17)),2),                                  IF(LEFT('Quantification Tool'!$B$18,1)="W",
ROUND(IF(E20&gt;=82.6,0,
IF(E20&lt;=69.8,1,
E20*'Reference Standards'!$AF$16+'Reference Standards'!$AF$17)),2)))))</f>
        <v/>
      </c>
      <c r="G20" s="78" t="str">
        <f>IFERROR(AVERAGE(F20),"")</f>
        <v/>
      </c>
      <c r="H20" s="359" t="str">
        <f>IFERROR(ROUND(AVERAGE(G20:G23),2),"")</f>
        <v/>
      </c>
      <c r="I20" s="360" t="str">
        <f>IF(H20="","",IF(H20&gt;0.69,"Functioning",IF(H20&gt;0.29,"Functioning At Risk",IF(H20&gt;-1,"Not Functioning"))))</f>
        <v/>
      </c>
      <c r="J20" s="422"/>
      <c r="M20" s="13"/>
      <c r="N20" s="13"/>
    </row>
    <row r="21" spans="1:14" ht="15.75" x14ac:dyDescent="0.25">
      <c r="A21" s="362"/>
      <c r="B21" s="64" t="s">
        <v>109</v>
      </c>
      <c r="C21" s="94" t="s">
        <v>386</v>
      </c>
      <c r="D21" s="65"/>
      <c r="E21" s="123"/>
      <c r="F21" s="211" t="str">
        <f>IF(E21="","",ROUND(IF(E21&gt;=4500,0,IF(E21&lt;=10,1, IF(E21&lt;1000, E21^2*'Reference Standards'!$AD$49+E21*'Reference Standards'!$AD$50+'Reference Standards'!$AD$51,E21^2*'Reference Standards'!$AE$49+E21*'Reference Standards'!$AE$50+'Reference Standards'!$AE$51))),2))</f>
        <v/>
      </c>
      <c r="G21" s="78" t="str">
        <f>IFERROR(AVERAGE(F21),"")</f>
        <v/>
      </c>
      <c r="H21" s="359"/>
      <c r="I21" s="360"/>
      <c r="J21" s="422"/>
      <c r="M21" s="13"/>
      <c r="N21" s="13"/>
    </row>
    <row r="22" spans="1:14" ht="15.75" x14ac:dyDescent="0.25">
      <c r="A22" s="362"/>
      <c r="B22" s="168" t="s">
        <v>246</v>
      </c>
      <c r="C22" s="168" t="s">
        <v>277</v>
      </c>
      <c r="D22" s="137"/>
      <c r="E22" s="169"/>
      <c r="F22" s="212" t="str">
        <f>IF(E22="","",  IF(OR('Quantification Tool'!$B$14="Northern Lakes and Forests",'Quantification Tool'!$B$14="North Central Hardwood Forests"), ROUND(IF(E22&gt;=151,0, IF(E22&lt;=3.9,1, IF(E22&lt;=12, E22*'Reference Standards'!$AD$86+'Reference Standards'!$AD$87,IF(E22&lt;50,E22*'Reference Standards'!$AE$86+'Reference Standards'!$AE$87, E22*'Reference Standards'!$AF$86+'Reference Standards'!$AF$87)))),2),
IF(OR('Quantification Tool'!$B$14="Southern Michigan/Northern Indiana Drift Plains"), ROUND(IF(E22&gt;=186,0, IF(E22&lt;=12.5,1, IF(E22&lt;=30, E22*'Reference Standards'!$AG$86+'Reference Standards'!$AG$87,IF(E22&lt;90,E22*'Reference Standards'!$AH$86+'Reference Standards'!$AH$87,E22*'Reference Standards'!$AI$86+'Reference Standards'!$AI$87)))),2),
IF(OR('Quantification Tool'!$B$14="Huron Erie Lake Plains",'Quantification Tool'!$B$14="Eastern Corn Belt Plains"), ROUND(IF(E22&gt;=550,0, IF(E22&lt;=29,1, IF(E22&lt;=70, E22*'Reference Standards'!$AD$118+'Reference Standards'!$AD$119,IF(E22&lt;160,  E22*'Reference Standards'!$AE$118+'Reference Standards'!$AE$119,   E22*'Reference Standards'!$AF$118+'Reference Standards'!$AF$119)))),2)))    ))</f>
        <v/>
      </c>
      <c r="G22" s="79" t="str">
        <f>IFERROR(AVERAGE(F22),"")</f>
        <v/>
      </c>
      <c r="H22" s="359"/>
      <c r="I22" s="360"/>
      <c r="J22" s="422"/>
      <c r="N22" s="13"/>
    </row>
    <row r="23" spans="1:14" ht="15.75" x14ac:dyDescent="0.25">
      <c r="A23" s="363"/>
      <c r="B23" s="232" t="s">
        <v>247</v>
      </c>
      <c r="C23" s="240" t="s">
        <v>387</v>
      </c>
      <c r="D23" s="244"/>
      <c r="E23" s="106"/>
      <c r="F23" s="212" t="str">
        <f>IF(E23="","",          IF(LEFT('Quantification Tool'!$B$18,1)="C",
ROUND(IF(E23&lt;=5.25,0,
IF(E23&gt;=7.75,1,E23*'Reference Standards'!$AD$152+'Reference Standards'!$AD$153)),2), IF(LEFT('Quantification Tool'!$B$18,1)="W",
ROUND(IF(E23&lt;=3.25,0,
IF(E23&gt;=5.75,1,
E23*'Reference Standards'!$AE$152+'Reference Standards'!$AE$153)),2))))</f>
        <v/>
      </c>
      <c r="G23" s="80" t="str">
        <f>IFERROR(AVERAGE(F23),"")</f>
        <v/>
      </c>
      <c r="H23" s="359"/>
      <c r="I23" s="360"/>
      <c r="J23" s="422"/>
      <c r="N23" s="13"/>
    </row>
    <row r="24" spans="1:14" ht="15.75" x14ac:dyDescent="0.25">
      <c r="A24" s="380" t="s">
        <v>60</v>
      </c>
      <c r="B24" s="378" t="s">
        <v>249</v>
      </c>
      <c r="C24" s="99" t="s">
        <v>388</v>
      </c>
      <c r="D24" s="100"/>
      <c r="E24" s="150"/>
      <c r="F24" s="213" t="str">
        <f>IF(E24="","",IF('Quantification Tool'!$B$19="Wadeable",IF(E24&lt;=-9,0,IF(E24&gt;=9,1,ROUND(E24*'Reference Standards'!AM$13+'Reference Standards'!AM$14,2))) ))</f>
        <v/>
      </c>
      <c r="G24" s="408" t="str">
        <f>IFERROR(AVERAGE(F24:F25),"")</f>
        <v/>
      </c>
      <c r="H24" s="414" t="str">
        <f>IFERROR(ROUND(AVERAGE(G24:G26),2),"")</f>
        <v/>
      </c>
      <c r="I24" s="360" t="str">
        <f>IF(H24="","",IF(H24&gt;0.69,"Functioning",IF(H24&gt;0.29,"Functioning At Risk",IF(H24&gt;-1,"Not Functioning"))))</f>
        <v/>
      </c>
      <c r="J24" s="422"/>
      <c r="N24" s="13"/>
    </row>
    <row r="25" spans="1:14" ht="15.75" x14ac:dyDescent="0.25">
      <c r="A25" s="381"/>
      <c r="B25" s="379"/>
      <c r="C25" s="101" t="s">
        <v>389</v>
      </c>
      <c r="D25" s="66"/>
      <c r="E25" s="151"/>
      <c r="F25" s="81" t="str">
        <f>IF(E25="","", IF('Quantification Tool'!$B$19="Non-wadeable",IF(E25&lt;=0,0, IF(E25&gt;=100,1, ROUND( E25*'Reference Standards'!AM$46+'Reference Standards'!AM$47,2)))))</f>
        <v/>
      </c>
      <c r="G25" s="409"/>
      <c r="H25" s="414"/>
      <c r="I25" s="360"/>
      <c r="J25" s="422"/>
      <c r="N25" s="13"/>
    </row>
    <row r="26" spans="1:14" ht="15.75" x14ac:dyDescent="0.25">
      <c r="A26" s="382"/>
      <c r="B26" s="233" t="s">
        <v>84</v>
      </c>
      <c r="C26" s="66" t="s">
        <v>390</v>
      </c>
      <c r="D26" s="66"/>
      <c r="E26" s="124"/>
      <c r="F26" s="214" t="str">
        <f>IF(E26="","",IF(AND('Quantification Tool'!$B$19="Wadeable",OR('Quantification Tool'!$B$18="Warm",'Quantification Tool'!$B$18="Warm-transitional")),IF(E26&lt;=-10,0,IF(E26&gt;=10,1,ROUND(E26*'Reference Standards'!$AM$80+'Reference Standards'!$AM$81,2)))))</f>
        <v/>
      </c>
      <c r="G26" s="81" t="str">
        <f>IFERROR(AVERAGE(F26),"")</f>
        <v/>
      </c>
      <c r="H26" s="414"/>
      <c r="I26" s="360"/>
      <c r="J26" s="423"/>
      <c r="N26" s="13"/>
    </row>
    <row r="29" spans="1:14" ht="21" x14ac:dyDescent="0.35">
      <c r="A29" s="128" t="s">
        <v>182</v>
      </c>
      <c r="B29" s="129"/>
      <c r="C29" s="130" t="s">
        <v>183</v>
      </c>
      <c r="D29" s="129"/>
      <c r="E29" s="131"/>
      <c r="F29" s="132"/>
      <c r="G29" s="383" t="s">
        <v>17</v>
      </c>
      <c r="H29" s="384"/>
      <c r="I29" s="384"/>
      <c r="J29" s="385"/>
    </row>
    <row r="30" spans="1:14" ht="31.5" x14ac:dyDescent="0.25">
      <c r="A30" s="245" t="s">
        <v>1</v>
      </c>
      <c r="B30" s="246" t="s">
        <v>2</v>
      </c>
      <c r="C30" s="386" t="s">
        <v>346</v>
      </c>
      <c r="D30" s="396"/>
      <c r="E30" s="246" t="s">
        <v>15</v>
      </c>
      <c r="F30" s="246" t="s">
        <v>16</v>
      </c>
      <c r="G30" s="245" t="s">
        <v>18</v>
      </c>
      <c r="H30" s="245" t="s">
        <v>19</v>
      </c>
      <c r="I30" s="246" t="s">
        <v>19</v>
      </c>
      <c r="J30" s="245" t="s">
        <v>20</v>
      </c>
    </row>
    <row r="31" spans="1:14" ht="15.75" x14ac:dyDescent="0.25">
      <c r="A31" s="375" t="s">
        <v>62</v>
      </c>
      <c r="B31" s="376" t="s">
        <v>168</v>
      </c>
      <c r="C31" s="108" t="s">
        <v>217</v>
      </c>
      <c r="D31" s="107"/>
      <c r="E31" s="106"/>
      <c r="F31" s="204" t="str">
        <f>IF(E31="","",IF(E31&gt;81,0,IF(E31&lt;=30,1,ROUND(IF(E31&gt;55,'Reference Standards'!C$14*E31+'Reference Standards'!C$15,'Reference Standards'!D$14*E31+'Reference Standards'!D$15),2))))</f>
        <v/>
      </c>
      <c r="G31" s="415" t="str">
        <f>IFERROR(AVERAGE(F31:F32),"")</f>
        <v/>
      </c>
      <c r="H31" s="415" t="str">
        <f>IFERROR(ROUND(AVERAGE(G31),2),"")</f>
        <v/>
      </c>
      <c r="I31" s="364" t="str">
        <f>IF(H31="","",IF(H31&gt;0.69,"Functioning",IF(H31&gt;0.29,"Functioning At Risk",IF(H31&gt;-1,"Not Functioning"))))</f>
        <v/>
      </c>
      <c r="J31" s="421" t="str">
        <f>IF(AND(H31="",H33="",H35="",H48="",H52=""),"",ROUND((IF(H31="",0,H31)*0.2)+(IF(H33="",0,H33)*0.2)+(IF(H35="",0,H35)*0.2)+(IF(H48="",0,H48)*0.2)+(IF(H52="",0,H52)*0.2),2))</f>
        <v/>
      </c>
    </row>
    <row r="32" spans="1:14" ht="15.75" x14ac:dyDescent="0.25">
      <c r="A32" s="375"/>
      <c r="B32" s="377"/>
      <c r="C32" s="109" t="s">
        <v>338</v>
      </c>
      <c r="D32" s="54"/>
      <c r="E32" s="124"/>
      <c r="F32" s="205" t="str">
        <f>IF(E32="","",IF(E32&gt;=3.33,0,IF(E32=0,1,ROUND('Reference Standards'!C$47*E32+'Reference Standards'!C$48,2))))</f>
        <v/>
      </c>
      <c r="G32" s="416"/>
      <c r="H32" s="417"/>
      <c r="I32" s="365"/>
      <c r="J32" s="422"/>
    </row>
    <row r="33" spans="1:10" ht="15.75" x14ac:dyDescent="0.25">
      <c r="A33" s="372" t="s">
        <v>6</v>
      </c>
      <c r="B33" s="374" t="s">
        <v>7</v>
      </c>
      <c r="C33" s="55" t="s">
        <v>8</v>
      </c>
      <c r="D33" s="166"/>
      <c r="E33" s="123"/>
      <c r="F33" s="206" t="str">
        <f>IF(E33="","",ROUND(IF(E33&gt;=1.714,0,    IF(E33&lt;=1,1,E33*'Reference Standards'!$L$13+'Reference Standards'!$L$14)),2))</f>
        <v/>
      </c>
      <c r="G33" s="411" t="str">
        <f>IFERROR(AVERAGE(F33:F34),"")</f>
        <v/>
      </c>
      <c r="H33" s="411" t="str">
        <f>IFERROR(ROUND(AVERAGE(G33),2),"")</f>
        <v/>
      </c>
      <c r="I33" s="364" t="str">
        <f>IF(H33="","",IF(H33&gt;0.69,"Functioning",IF(H33&gt;0.29,"Functioning At Risk",IF(H33&gt;-1,"Not Functioning"))))</f>
        <v/>
      </c>
      <c r="J33" s="422"/>
    </row>
    <row r="34" spans="1:10" ht="15.75" x14ac:dyDescent="0.25">
      <c r="A34" s="373"/>
      <c r="B34" s="373"/>
      <c r="C34" s="164" t="s">
        <v>9</v>
      </c>
      <c r="D34" s="165"/>
      <c r="E34" s="124"/>
      <c r="F34" s="207" t="str">
        <f>IF(E34="","",IF(OR('Quantification Tool'!$B$9="A",'Quantification Tool'!$B$9="B", 'Quantification Tool'!$B$9="Bc"),IF(E34&lt;=1.05,0,IF(E34&gt;=2.2,1,ROUND(IF(E34&lt;1.4,E34*'Reference Standards'!$L$83+'Reference Standards'!$L$84,E34*'Reference Standards'!$M$83+'Reference Standards'!$M$84),2))),IF(OR('Quantification Tool'!$B$9="C",'Quantification Tool'!$B$9="E"),IF(E34&lt;1.7,0,IF(E34&gt;=5,1,ROUND(IF(E34&lt;2.4,E34*'Reference Standards'!$M$48+'Reference Standards'!$M$49,E34*'Reference Standards'!$L$48+'Reference Standards'!$L$49),2))))))</f>
        <v/>
      </c>
      <c r="G34" s="412"/>
      <c r="H34" s="412"/>
      <c r="I34" s="365"/>
      <c r="J34" s="422"/>
    </row>
    <row r="35" spans="1:10" ht="15.75" customHeight="1" x14ac:dyDescent="0.25">
      <c r="A35" s="366" t="s">
        <v>27</v>
      </c>
      <c r="B35" s="265" t="s">
        <v>28</v>
      </c>
      <c r="C35" s="266" t="s">
        <v>24</v>
      </c>
      <c r="D35" s="267"/>
      <c r="E35" s="47"/>
      <c r="F35" s="77" t="str">
        <f>IF(E35="","",IF(E35&gt;=2825,1,IF(E35&lt;=0,0, ROUND(IF(E35&lt;1350,E35*'Reference Standards'!$U$13+'Reference Standards'!$U$14,E35*'Reference Standards'!$V$13+'Reference Standards'!$V$14),2))))</f>
        <v/>
      </c>
      <c r="G35" s="262" t="str">
        <f>IFERROR(AVERAGE(F35:F35),"")</f>
        <v/>
      </c>
      <c r="H35" s="369" t="str">
        <f>IFERROR(ROUND(AVERAGE(G35:G47),2),"")</f>
        <v/>
      </c>
      <c r="I35" s="364" t="str">
        <f>IF(H35="","",IF(H35&gt;0.69,"Functioning",IF(H35&gt;0.29,"Functioning At Risk",IF(H35&gt;-1,"Not Functioning"))))</f>
        <v/>
      </c>
      <c r="J35" s="422"/>
    </row>
    <row r="36" spans="1:10" ht="15.75" x14ac:dyDescent="0.25">
      <c r="A36" s="367"/>
      <c r="B36" s="366" t="s">
        <v>241</v>
      </c>
      <c r="C36" s="56" t="s">
        <v>51</v>
      </c>
      <c r="D36" s="56"/>
      <c r="E36" s="305"/>
      <c r="F36" s="225" t="str">
        <f>IF(E36="","",IF(OR(E36="Ex/Ex",E36="Ex/VH",E36="Ex/H",E36="Ex/M",E36="VH/Ex",E36="VH/VH", E36="H/Ex",E36="H/VH"),0, IF(OR(E36="M/Ex"),0.1,IF(OR(E36="VH/H",E36="VH/M",E36="H/H",E36="H/M", E36="M/VH"),0.2, IF(OR(E36="Ex/VL",E36="Ex/L", E36="M/H"),0.3, IF(OR(E36="VH/L",E36="H/L"),0.4, IF(OR(E36="VH/VL",E36="H/VL",E36="M/M"),0.5, IF(OR(E36="M/L",E36="L/Ex"),0.6, IF(OR(E36="M/VL",E36="L/VH", E36="L/H",E36="L/M",E36="L/L",E36="L/VL", LEFT(E36,2)="VL"),1)))))))))</f>
        <v/>
      </c>
      <c r="G36" s="418" t="str">
        <f>IFERROR(AVERAGE(F36:F38),"")</f>
        <v/>
      </c>
      <c r="H36" s="370"/>
      <c r="I36" s="424"/>
      <c r="J36" s="422"/>
    </row>
    <row r="37" spans="1:10" ht="15.75" x14ac:dyDescent="0.25">
      <c r="A37" s="367"/>
      <c r="B37" s="367"/>
      <c r="C37" s="57" t="s">
        <v>108</v>
      </c>
      <c r="D37" s="57"/>
      <c r="E37" s="123"/>
      <c r="F37" s="77" t="str">
        <f>IF(E37="","",ROUND(IF(E37&gt;=75,0,IF(E37&lt;=5,1,IF(E37&gt;10,E37*'Reference Standards'!U$48+'Reference Standards'!U$49,E37*'Reference Standards'!V$48+'Reference Standards'!V$49 ))),2))</f>
        <v/>
      </c>
      <c r="G37" s="418"/>
      <c r="H37" s="370"/>
      <c r="I37" s="424"/>
      <c r="J37" s="422"/>
    </row>
    <row r="38" spans="1:10" ht="15.75" x14ac:dyDescent="0.25">
      <c r="A38" s="367"/>
      <c r="B38" s="368"/>
      <c r="C38" s="56" t="s">
        <v>336</v>
      </c>
      <c r="D38" s="56"/>
      <c r="E38" s="124"/>
      <c r="F38" s="208" t="str">
        <f>IF(E38="","",IF(E38&gt;=30,0,IF(E38&lt;=0,1,ROUND(E38*'Reference Standards'!$U$81+'Reference Standards'!$U$82,2))))</f>
        <v/>
      </c>
      <c r="G38" s="418"/>
      <c r="H38" s="370"/>
      <c r="I38" s="424"/>
      <c r="J38" s="422"/>
    </row>
    <row r="39" spans="1:10" ht="15.75" x14ac:dyDescent="0.25">
      <c r="A39" s="367"/>
      <c r="B39" s="366" t="s">
        <v>52</v>
      </c>
      <c r="C39" s="58" t="s">
        <v>335</v>
      </c>
      <c r="D39" s="61"/>
      <c r="E39" s="106"/>
      <c r="F39" s="77" t="str">
        <f>IF(E39="","",IF(E39&gt;=150,1,IF(E39&lt;=0,0,ROUND(E39^2*'Reference Standards'!$U$115+E39*'Reference Standards'!$U$116+'Reference Standards'!$U$117,2))))</f>
        <v/>
      </c>
      <c r="G39" s="369" t="str">
        <f>IFERROR(AVERAGE(F39:F43),"")</f>
        <v/>
      </c>
      <c r="H39" s="370"/>
      <c r="I39" s="424"/>
      <c r="J39" s="422"/>
    </row>
    <row r="40" spans="1:10" ht="15.75" x14ac:dyDescent="0.25">
      <c r="A40" s="367"/>
      <c r="B40" s="367"/>
      <c r="C40" s="59" t="s">
        <v>355</v>
      </c>
      <c r="D40" s="56"/>
      <c r="E40" s="149"/>
      <c r="F40" s="77" t="str">
        <f>IF(E40="","",IF('Quantification Tool'!$B$20="Forested",IF(E40&gt;=12,1,IF(E40&lt;=0,0,ROUND(E40*'Reference Standards'!$U$149+'Reference Standards'!$U$150,2)))))</f>
        <v/>
      </c>
      <c r="G40" s="370"/>
      <c r="H40" s="370"/>
      <c r="I40" s="424"/>
      <c r="J40" s="422"/>
    </row>
    <row r="41" spans="1:10" ht="15.75" x14ac:dyDescent="0.25">
      <c r="A41" s="367"/>
      <c r="B41" s="367"/>
      <c r="C41" s="59" t="s">
        <v>356</v>
      </c>
      <c r="D41" s="56"/>
      <c r="E41" s="123"/>
      <c r="F41" s="77" t="str">
        <f>IF(E41="","",IF('Quantification Tool'!$B$20="Forested",IF(AND(E41&gt;=95,E41&lt;=200),1,IF(E41&lt;=0,0,IF(E41&gt;=300,0.5,IF(E41&lt;100,ROUND(E41*'Reference Standards'!$U$184+'Reference Standards'!$U$185,2),ROUND(E41*'Reference Standards'!$V$184+'Reference Standards'!$V$185,2)))))))</f>
        <v/>
      </c>
      <c r="G41" s="370"/>
      <c r="H41" s="370"/>
      <c r="I41" s="424"/>
      <c r="J41" s="422"/>
    </row>
    <row r="42" spans="1:10" ht="15.75" x14ac:dyDescent="0.25">
      <c r="A42" s="367"/>
      <c r="B42" s="367"/>
      <c r="C42" s="59" t="s">
        <v>391</v>
      </c>
      <c r="D42" s="200"/>
      <c r="E42" s="123"/>
      <c r="F42" s="77" t="str">
        <f>IF(E42="","",IF('Quantification Tool'!$B$20="Forested",IF(E42&gt;=100,1,ROUND(E42*'Reference Standards'!$U$219+'Reference Standards'!$U$220,2)),IF('Quantification Tool'!$B$20="Scrub-shrub",IF(E42&gt;=470,1,ROUND(E42*'Reference Standards'!$V$219+'Reference Standards'!$V$220,2)))))</f>
        <v/>
      </c>
      <c r="G42" s="370"/>
      <c r="H42" s="370"/>
      <c r="I42" s="424"/>
      <c r="J42" s="422"/>
    </row>
    <row r="43" spans="1:10" ht="15.75" x14ac:dyDescent="0.25">
      <c r="A43" s="367"/>
      <c r="B43" s="367"/>
      <c r="C43" s="60" t="s">
        <v>354</v>
      </c>
      <c r="D43" s="62"/>
      <c r="E43" s="123"/>
      <c r="F43" s="77" t="str">
        <f>IF(E43="","",IF('Quantification Tool'!$B$20="Herbaceous",IF(E43&gt;=80,1,IF(E43&lt;=0,0,ROUND(E43*'Reference Standards'!$U$251+'Reference Standards'!$U$252,2)))))</f>
        <v/>
      </c>
      <c r="G43" s="370"/>
      <c r="H43" s="370"/>
      <c r="I43" s="424"/>
      <c r="J43" s="422"/>
    </row>
    <row r="44" spans="1:10" ht="15.75" x14ac:dyDescent="0.25">
      <c r="A44" s="367"/>
      <c r="B44" s="366" t="s">
        <v>53</v>
      </c>
      <c r="C44" s="61" t="s">
        <v>54</v>
      </c>
      <c r="D44" s="61"/>
      <c r="E44" s="150"/>
      <c r="F44" s="209" t="str">
        <f>IF(E44="","",IF(OR('Quantification Tool'!$B$9="C",'Quantification Tool'!$B$9="E"),ROUND(IF(OR(E44&lt;=1,E44&gt;=9),0,IF(AND(E44&gt;=3.5,E44&lt;=6),1,IF(E44&lt;3.5,E44*'Reference Standards'!$U$289+'Reference Standards'!$U$290,E44*'Reference Standards'!$V$289+'Reference Standards'!$V$290))),2),IF(OR('Quantification Tool'!$B$9="A",'Quantification Tool'!$B$9="B"),ROUND(IF(OR(E44&gt;=6.5,E44=0),0,IF(E44&lt;=4,1,E44^2*'Reference Standards'!$U$320+E44*'Reference Standards'!$U$321+'Reference Standards'!$U$322)),2),IF('Quantification Tool'!$B$9="Bc",ROUND(IF(E44&gt;=8,0,IF(E44&lt;=5,1,E44^2*'Reference Standards'!$U$352+E44*'Reference Standards'!$U$353+'Reference Standards'!$U$354)),2)))))</f>
        <v/>
      </c>
      <c r="G44" s="462" t="str">
        <f>IFERROR(AVERAGE(F44:F47),"")</f>
        <v/>
      </c>
      <c r="H44" s="370"/>
      <c r="I44" s="424"/>
      <c r="J44" s="422"/>
    </row>
    <row r="45" spans="1:10" ht="15.75" x14ac:dyDescent="0.25">
      <c r="A45" s="367"/>
      <c r="B45" s="367"/>
      <c r="C45" s="56" t="s">
        <v>55</v>
      </c>
      <c r="D45" s="56"/>
      <c r="E45" s="149"/>
      <c r="F45" s="77" t="str">
        <f>IF(E45="","", ROUND(  IF(E45&lt;=1.1,0, IF(E45&gt;=3,1, IF(E45&lt;2, E45^2*'Reference Standards'!$U$387+  E45*'Reference Standards'!$U$388 + 'Reference Standards'!$U$389,     E45^2*'Reference Standards'!$V$387+  E45*'Reference Standards'!$V$388 + 'Reference Standards'!$V$389))),2))</f>
        <v/>
      </c>
      <c r="G45" s="461"/>
      <c r="H45" s="370"/>
      <c r="I45" s="424"/>
      <c r="J45" s="422"/>
    </row>
    <row r="46" spans="1:10" ht="15.75" x14ac:dyDescent="0.25">
      <c r="A46" s="367"/>
      <c r="B46" s="367"/>
      <c r="C46" s="56" t="s">
        <v>337</v>
      </c>
      <c r="D46" s="56"/>
      <c r="E46" s="149"/>
      <c r="F46" s="210" t="str">
        <f>IF(E46="","", IF(OR('Quantification Tool'!$B$9="A",LEFT('Quantification Tool'!$B$9,1)="B"), ROUND(IF(OR(E46&lt;=20,E46&gt;=90),0,IF(AND(E46&gt;=50,E46&lt;=60),1,IF(E46&lt;50, E46*'Reference Standards'!$U$422+'Reference Standards'!$U$423, E46*'Reference Standards'!$V$422+'Reference Standards'!$V$423))),2),   IF(OR('Quantification Tool'!$B$9="C",'Quantification Tool'!$B$9="E"), ROUND(IF(OR(E46&lt;=20,E46&gt;=85),0, IF(AND(E46&lt;=65,E46&gt;=45), 1, IF(E46&lt;45, E46*'Reference Standards'!$U$457+'Reference Standards'!$U$458,E46*'Reference Standards'!$V$457+'Reference Standards'!$V$458 ))),2)   )  ))</f>
        <v/>
      </c>
      <c r="G46" s="461"/>
      <c r="H46" s="370"/>
      <c r="I46" s="424"/>
      <c r="J46" s="422"/>
    </row>
    <row r="47" spans="1:10" ht="15.75" x14ac:dyDescent="0.25">
      <c r="A47" s="368"/>
      <c r="B47" s="368"/>
      <c r="C47" s="62" t="s">
        <v>180</v>
      </c>
      <c r="D47" s="62"/>
      <c r="E47" s="151"/>
      <c r="F47" s="299" t="str">
        <f>IF(E47="","",IF(E47&gt;=1.6,0,IF(E47&lt;=1,1,ROUND('Reference Standards'!$U$489*E47^3+'Reference Standards'!$U$490*E47^2+'Reference Standards'!$U$491*E47+'Reference Standards'!$U$492,2))))</f>
        <v/>
      </c>
      <c r="G47" s="463"/>
      <c r="H47" s="371"/>
      <c r="I47" s="365"/>
      <c r="J47" s="422"/>
    </row>
    <row r="48" spans="1:10" ht="15.75" x14ac:dyDescent="0.25">
      <c r="A48" s="361" t="s">
        <v>59</v>
      </c>
      <c r="B48" s="231" t="s">
        <v>94</v>
      </c>
      <c r="C48" s="63" t="s">
        <v>245</v>
      </c>
      <c r="D48" s="63"/>
      <c r="E48" s="47"/>
      <c r="F48" s="79" t="str">
        <f>IF(E48="","",IF('Quantification Tool'!$B$18="Coldwater",
ROUND(IF(E48&gt;=69.3,0,
IF(E48&lt;=59,1,E48*'Reference Standards'!$AD$16+'Reference Standards'!$AD$17)),2),                                   IF('Quantification Tool'!$B$18="Cold-transitional",
ROUND(IF(E48&gt;=71.38,0,
IF(E48&lt;=66.2,1,E48*'Reference Standards'!$AE$16+'Reference Standards'!$AE$17)),2),                                  IF(LEFT('Quantification Tool'!$B$18,1)="W",
ROUND(IF(E48&gt;=82.6,0,
IF(E48&lt;=69.8,1,
E48*'Reference Standards'!$AF$16+'Reference Standards'!$AF$17)),2)))))</f>
        <v/>
      </c>
      <c r="G48" s="78" t="str">
        <f>IFERROR(AVERAGE(F48),"")</f>
        <v/>
      </c>
      <c r="H48" s="359" t="str">
        <f>IFERROR(ROUND(AVERAGE(G48:G51),2),"")</f>
        <v/>
      </c>
      <c r="I48" s="360" t="str">
        <f>IF(H48="","",IF(H48&gt;0.69,"Functioning",IF(H48&gt;0.29,"Functioning At Risk",IF(H48&gt;-1,"Not Functioning"))))</f>
        <v/>
      </c>
      <c r="J48" s="422"/>
    </row>
    <row r="49" spans="1:10" ht="15.75" x14ac:dyDescent="0.25">
      <c r="A49" s="362"/>
      <c r="B49" s="64" t="s">
        <v>109</v>
      </c>
      <c r="C49" s="94" t="s">
        <v>386</v>
      </c>
      <c r="D49" s="65"/>
      <c r="E49" s="123"/>
      <c r="F49" s="211" t="str">
        <f>IF(E49="","",ROUND(IF(E49&gt;=4500,0,IF(E49&lt;=10,1, IF(E49&lt;1000, E49^2*'Reference Standards'!$AD$49+E49*'Reference Standards'!$AD$50+'Reference Standards'!$AD$51,E49^2*'Reference Standards'!$AE$49+E49*'Reference Standards'!$AE$50+'Reference Standards'!$AE$51))),2))</f>
        <v/>
      </c>
      <c r="G49" s="78" t="str">
        <f>IFERROR(AVERAGE(F49),"")</f>
        <v/>
      </c>
      <c r="H49" s="359"/>
      <c r="I49" s="360"/>
      <c r="J49" s="422"/>
    </row>
    <row r="50" spans="1:10" ht="15.75" x14ac:dyDescent="0.25">
      <c r="A50" s="362"/>
      <c r="B50" s="168" t="s">
        <v>246</v>
      </c>
      <c r="C50" s="168" t="s">
        <v>277</v>
      </c>
      <c r="D50" s="137"/>
      <c r="E50" s="169"/>
      <c r="F50" s="212" t="str">
        <f>IF(E50="","",  IF(OR('Quantification Tool'!$B$14="Northern Lakes and Forests",'Quantification Tool'!$B$14="North Central Hardwood Forests"), ROUND(IF(E50&gt;=151,0, IF(E50&lt;=3.9,1, IF(E50&lt;=12, E50*'Reference Standards'!$AD$86+'Reference Standards'!$AD$87,IF(E50&lt;50,E50*'Reference Standards'!$AE$86+'Reference Standards'!$AE$87, E50*'Reference Standards'!$AF$86+'Reference Standards'!$AF$87)))),2),
IF(OR('Quantification Tool'!$B$14="Southern Michigan/Northern Indiana Drift Plains"), ROUND(IF(E50&gt;=186,0, IF(E50&lt;=12.5,1, IF(E50&lt;=30, E50*'Reference Standards'!$AG$86+'Reference Standards'!$AG$87,IF(E50&lt;90,E50*'Reference Standards'!$AH$86+'Reference Standards'!$AH$87,E50*'Reference Standards'!$AI$86+'Reference Standards'!$AI$87)))),2),
IF(OR('Quantification Tool'!$B$14="Huron Erie Lake Plains",'Quantification Tool'!$B$14="Eastern Corn Belt Plains"), ROUND(IF(E50&gt;=550,0, IF(E50&lt;=29,1, IF(E50&lt;=70, E50*'Reference Standards'!$AD$118+'Reference Standards'!$AD$119,IF(E50&lt;160,  E50*'Reference Standards'!$AE$118+'Reference Standards'!$AE$119,   E50*'Reference Standards'!$AF$118+'Reference Standards'!$AF$119)))),2)))    ))</f>
        <v/>
      </c>
      <c r="G50" s="79" t="str">
        <f>IFERROR(AVERAGE(F50),"")</f>
        <v/>
      </c>
      <c r="H50" s="359"/>
      <c r="I50" s="360"/>
      <c r="J50" s="422"/>
    </row>
    <row r="51" spans="1:10" ht="15.75" x14ac:dyDescent="0.25">
      <c r="A51" s="363"/>
      <c r="B51" s="232" t="s">
        <v>247</v>
      </c>
      <c r="C51" s="240" t="s">
        <v>387</v>
      </c>
      <c r="D51" s="244"/>
      <c r="E51" s="106"/>
      <c r="F51" s="212" t="str">
        <f>IF(E51="","",          IF(LEFT('Quantification Tool'!$B$18,1)="C",
ROUND(IF(E51&lt;=5.25,0,
IF(E51&gt;=7.75,1,E51*'Reference Standards'!$AD$152+'Reference Standards'!$AD$153)),2), IF(LEFT('Quantification Tool'!$B$18,1)="W",
ROUND(IF(E51&lt;=3.25,0,
IF(E51&gt;=5.75,1,
E51*'Reference Standards'!$AE$152+'Reference Standards'!$AE$153)),2))))</f>
        <v/>
      </c>
      <c r="G51" s="80" t="str">
        <f>IFERROR(AVERAGE(F51),"")</f>
        <v/>
      </c>
      <c r="H51" s="359"/>
      <c r="I51" s="360"/>
      <c r="J51" s="422"/>
    </row>
    <row r="52" spans="1:10" ht="15.75" x14ac:dyDescent="0.25">
      <c r="A52" s="380" t="s">
        <v>60</v>
      </c>
      <c r="B52" s="378" t="s">
        <v>249</v>
      </c>
      <c r="C52" s="99" t="s">
        <v>388</v>
      </c>
      <c r="D52" s="100"/>
      <c r="E52" s="150"/>
      <c r="F52" s="213" t="str">
        <f>IF(E52="","",IF('Quantification Tool'!$B$19="Wadeable",IF(E52&lt;=-9,0,IF(E52&gt;=9,1,ROUND(E52*'Reference Standards'!AM$13+'Reference Standards'!AM$14,2))) ))</f>
        <v/>
      </c>
      <c r="G52" s="408" t="str">
        <f>IFERROR(AVERAGE(F52:F53),"")</f>
        <v/>
      </c>
      <c r="H52" s="414" t="str">
        <f>IFERROR(ROUND(AVERAGE(G52:G54),2),"")</f>
        <v/>
      </c>
      <c r="I52" s="360" t="str">
        <f>IF(H52="","",IF(H52&gt;0.69,"Functioning",IF(H52&gt;0.29,"Functioning At Risk",IF(H52&gt;-1,"Not Functioning"))))</f>
        <v/>
      </c>
      <c r="J52" s="422"/>
    </row>
    <row r="53" spans="1:10" ht="15.75" x14ac:dyDescent="0.25">
      <c r="A53" s="381"/>
      <c r="B53" s="379"/>
      <c r="C53" s="101" t="s">
        <v>389</v>
      </c>
      <c r="D53" s="66"/>
      <c r="E53" s="151"/>
      <c r="F53" s="81" t="str">
        <f>IF(E53="","", IF('Quantification Tool'!$B$19="Non-wadeable",IF(E53&lt;=0,0, IF(E53&gt;=100,1, ROUND( E53*'Reference Standards'!AM$46+'Reference Standards'!AM$47,2)))))</f>
        <v/>
      </c>
      <c r="G53" s="409"/>
      <c r="H53" s="414"/>
      <c r="I53" s="360"/>
      <c r="J53" s="422"/>
    </row>
    <row r="54" spans="1:10" ht="15.75" x14ac:dyDescent="0.25">
      <c r="A54" s="382"/>
      <c r="B54" s="233" t="s">
        <v>84</v>
      </c>
      <c r="C54" s="66" t="s">
        <v>390</v>
      </c>
      <c r="D54" s="66"/>
      <c r="E54" s="124"/>
      <c r="F54" s="214" t="str">
        <f>IF(E54="","",IF(AND('Quantification Tool'!$B$19="Wadeable",OR('Quantification Tool'!$B$18="Warm",'Quantification Tool'!$B$18="Warm-transitional")),IF(E54&lt;=-10,0,IF(E54&gt;=10,1,ROUND(E54*'Reference Standards'!$AM$80+'Reference Standards'!$AM$81,2)))))</f>
        <v/>
      </c>
      <c r="G54" s="81" t="str">
        <f>IFERROR(AVERAGE(F54),"")</f>
        <v/>
      </c>
      <c r="H54" s="414"/>
      <c r="I54" s="360"/>
      <c r="J54" s="423"/>
    </row>
    <row r="57" spans="1:10" ht="21" x14ac:dyDescent="0.35">
      <c r="A57" s="128" t="s">
        <v>182</v>
      </c>
      <c r="B57" s="129"/>
      <c r="C57" s="130" t="s">
        <v>183</v>
      </c>
      <c r="D57" s="129"/>
      <c r="E57" s="131"/>
      <c r="F57" s="132"/>
      <c r="G57" s="383" t="s">
        <v>17</v>
      </c>
      <c r="H57" s="384"/>
      <c r="I57" s="384"/>
      <c r="J57" s="385"/>
    </row>
    <row r="58" spans="1:10" ht="31.5" x14ac:dyDescent="0.25">
      <c r="A58" s="245" t="s">
        <v>1</v>
      </c>
      <c r="B58" s="246" t="s">
        <v>2</v>
      </c>
      <c r="C58" s="386" t="s">
        <v>346</v>
      </c>
      <c r="D58" s="396"/>
      <c r="E58" s="246" t="s">
        <v>15</v>
      </c>
      <c r="F58" s="246" t="s">
        <v>16</v>
      </c>
      <c r="G58" s="245" t="s">
        <v>18</v>
      </c>
      <c r="H58" s="245" t="s">
        <v>19</v>
      </c>
      <c r="I58" s="246" t="s">
        <v>19</v>
      </c>
      <c r="J58" s="245" t="s">
        <v>20</v>
      </c>
    </row>
    <row r="59" spans="1:10" ht="15.75" x14ac:dyDescent="0.25">
      <c r="A59" s="375" t="s">
        <v>62</v>
      </c>
      <c r="B59" s="376" t="s">
        <v>168</v>
      </c>
      <c r="C59" s="108" t="s">
        <v>217</v>
      </c>
      <c r="D59" s="107"/>
      <c r="E59" s="106"/>
      <c r="F59" s="204" t="str">
        <f>IF(E59="","",IF(E59&gt;81,0,IF(E59&lt;=30,1,ROUND(IF(E59&gt;55,'Reference Standards'!C$14*E59+'Reference Standards'!C$15,'Reference Standards'!D$14*E59+'Reference Standards'!D$15),2))))</f>
        <v/>
      </c>
      <c r="G59" s="415" t="str">
        <f>IFERROR(AVERAGE(F59:F60),"")</f>
        <v/>
      </c>
      <c r="H59" s="415" t="str">
        <f>IFERROR(ROUND(AVERAGE(G59),2),"")</f>
        <v/>
      </c>
      <c r="I59" s="364" t="str">
        <f>IF(H59="","",IF(H59&gt;0.69,"Functioning",IF(H59&gt;0.29,"Functioning At Risk",IF(H59&gt;-1,"Not Functioning"))))</f>
        <v/>
      </c>
      <c r="J59" s="421" t="str">
        <f>IF(AND(H59="",H61="",H63="",H76="",H80=""),"",ROUND((IF(H59="",0,H59)*0.2)+(IF(H61="",0,H61)*0.2)+(IF(H63="",0,H63)*0.2)+(IF(H76="",0,H76)*0.2)+(IF(H80="",0,H80)*0.2),2))</f>
        <v/>
      </c>
    </row>
    <row r="60" spans="1:10" ht="15.75" x14ac:dyDescent="0.25">
      <c r="A60" s="375"/>
      <c r="B60" s="377"/>
      <c r="C60" s="109" t="s">
        <v>338</v>
      </c>
      <c r="D60" s="54"/>
      <c r="E60" s="124"/>
      <c r="F60" s="205" t="str">
        <f>IF(E60="","",IF(E60&gt;=3.33,0,IF(E60=0,1,ROUND('Reference Standards'!C$47*E60+'Reference Standards'!C$48,2))))</f>
        <v/>
      </c>
      <c r="G60" s="416"/>
      <c r="H60" s="417"/>
      <c r="I60" s="365"/>
      <c r="J60" s="422"/>
    </row>
    <row r="61" spans="1:10" ht="15.75" x14ac:dyDescent="0.25">
      <c r="A61" s="372" t="s">
        <v>6</v>
      </c>
      <c r="B61" s="374" t="s">
        <v>7</v>
      </c>
      <c r="C61" s="55" t="s">
        <v>8</v>
      </c>
      <c r="D61" s="166"/>
      <c r="E61" s="123"/>
      <c r="F61" s="206" t="str">
        <f>IF(E61="","",ROUND(IF(E61&gt;=1.714,0,    IF(E61&lt;=1,1,E61*'Reference Standards'!$L$13+'Reference Standards'!$L$14)),2))</f>
        <v/>
      </c>
      <c r="G61" s="411" t="str">
        <f>IFERROR(AVERAGE(F61:F62),"")</f>
        <v/>
      </c>
      <c r="H61" s="411" t="str">
        <f>IFERROR(ROUND(AVERAGE(G61),2),"")</f>
        <v/>
      </c>
      <c r="I61" s="364" t="str">
        <f>IF(H61="","",IF(H61&gt;0.69,"Functioning",IF(H61&gt;0.29,"Functioning At Risk",IF(H61&gt;-1,"Not Functioning"))))</f>
        <v/>
      </c>
      <c r="J61" s="422"/>
    </row>
    <row r="62" spans="1:10" ht="15.75" x14ac:dyDescent="0.25">
      <c r="A62" s="373"/>
      <c r="B62" s="373"/>
      <c r="C62" s="164" t="s">
        <v>9</v>
      </c>
      <c r="D62" s="165"/>
      <c r="E62" s="124"/>
      <c r="F62" s="207" t="str">
        <f>IF(E62="","",IF(OR('Quantification Tool'!$B$9="A",'Quantification Tool'!$B$9="B", 'Quantification Tool'!$B$9="Bc"),IF(E62&lt;=1.05,0,IF(E62&gt;=2.2,1,ROUND(IF(E62&lt;1.4,E62*'Reference Standards'!$L$83+'Reference Standards'!$L$84,E62*'Reference Standards'!$M$83+'Reference Standards'!$M$84),2))),IF(OR('Quantification Tool'!$B$9="C",'Quantification Tool'!$B$9="E"),IF(E62&lt;1.7,0,IF(E62&gt;=5,1,ROUND(IF(E62&lt;2.4,E62*'Reference Standards'!$M$48+'Reference Standards'!$M$49,E62*'Reference Standards'!$L$48+'Reference Standards'!$L$49),2))))))</f>
        <v/>
      </c>
      <c r="G62" s="412"/>
      <c r="H62" s="412"/>
      <c r="I62" s="365"/>
      <c r="J62" s="422"/>
    </row>
    <row r="63" spans="1:10" ht="15.75" customHeight="1" x14ac:dyDescent="0.25">
      <c r="A63" s="366" t="s">
        <v>27</v>
      </c>
      <c r="B63" s="265" t="s">
        <v>28</v>
      </c>
      <c r="C63" s="266" t="s">
        <v>24</v>
      </c>
      <c r="D63" s="267"/>
      <c r="E63" s="47"/>
      <c r="F63" s="77" t="str">
        <f>IF(E63="","",IF(E63&gt;=2825,1,IF(E63&lt;=0,0, ROUND(IF(E63&lt;1350,E63*'Reference Standards'!$U$13+'Reference Standards'!$U$14,E63*'Reference Standards'!$V$13+'Reference Standards'!$V$14),2))))</f>
        <v/>
      </c>
      <c r="G63" s="262" t="str">
        <f>IFERROR(AVERAGE(F63:F63),"")</f>
        <v/>
      </c>
      <c r="H63" s="369" t="str">
        <f>IFERROR(ROUND(AVERAGE(G63:G75),2),"")</f>
        <v/>
      </c>
      <c r="I63" s="364" t="str">
        <f>IF(H63="","",IF(H63&gt;0.69,"Functioning",IF(H63&gt;0.29,"Functioning At Risk",IF(H63&gt;-1,"Not Functioning"))))</f>
        <v/>
      </c>
      <c r="J63" s="422"/>
    </row>
    <row r="64" spans="1:10" ht="15.75" x14ac:dyDescent="0.25">
      <c r="A64" s="367"/>
      <c r="B64" s="366" t="s">
        <v>241</v>
      </c>
      <c r="C64" s="56" t="s">
        <v>51</v>
      </c>
      <c r="D64" s="56"/>
      <c r="E64" s="305"/>
      <c r="F64" s="225" t="str">
        <f>IF(E64="","",IF(OR(E64="Ex/Ex",E64="Ex/VH",E64="Ex/H",E64="Ex/M",E64="VH/Ex",E64="VH/VH", E64="H/Ex",E64="H/VH"),0, IF(OR(E64="M/Ex"),0.1,IF(OR(E64="VH/H",E64="VH/M",E64="H/H",E64="H/M", E64="M/VH"),0.2, IF(OR(E64="Ex/VL",E64="Ex/L", E64="M/H"),0.3, IF(OR(E64="VH/L",E64="H/L"),0.4, IF(OR(E64="VH/VL",E64="H/VL",E64="M/M"),0.5, IF(OR(E64="M/L",E64="L/Ex"),0.6, IF(OR(E64="M/VL",E64="L/VH", E64="L/H",E64="L/M",E64="L/L",E64="L/VL", LEFT(E64,2)="VL"),1)))))))))</f>
        <v/>
      </c>
      <c r="G64" s="418" t="str">
        <f>IFERROR(AVERAGE(F64:F66),"")</f>
        <v/>
      </c>
      <c r="H64" s="370"/>
      <c r="I64" s="424"/>
      <c r="J64" s="422"/>
    </row>
    <row r="65" spans="1:10" ht="15.75" x14ac:dyDescent="0.25">
      <c r="A65" s="367"/>
      <c r="B65" s="367"/>
      <c r="C65" s="57" t="s">
        <v>108</v>
      </c>
      <c r="D65" s="57"/>
      <c r="E65" s="123"/>
      <c r="F65" s="77" t="str">
        <f>IF(E65="","",ROUND(IF(E65&gt;=75,0,IF(E65&lt;=5,1,IF(E65&gt;10,E65*'Reference Standards'!U$48+'Reference Standards'!U$49,E65*'Reference Standards'!V$48+'Reference Standards'!V$49 ))),2))</f>
        <v/>
      </c>
      <c r="G65" s="418"/>
      <c r="H65" s="370"/>
      <c r="I65" s="424"/>
      <c r="J65" s="422"/>
    </row>
    <row r="66" spans="1:10" ht="15.75" x14ac:dyDescent="0.25">
      <c r="A66" s="367"/>
      <c r="B66" s="368"/>
      <c r="C66" s="56" t="s">
        <v>336</v>
      </c>
      <c r="D66" s="56"/>
      <c r="E66" s="124"/>
      <c r="F66" s="208" t="str">
        <f>IF(E66="","",IF(E66&gt;=30,0,IF(E66&lt;=0,1,ROUND(E66*'Reference Standards'!$U$81+'Reference Standards'!$U$82,2))))</f>
        <v/>
      </c>
      <c r="G66" s="418"/>
      <c r="H66" s="370"/>
      <c r="I66" s="424"/>
      <c r="J66" s="422"/>
    </row>
    <row r="67" spans="1:10" ht="15.75" x14ac:dyDescent="0.25">
      <c r="A67" s="367"/>
      <c r="B67" s="366" t="s">
        <v>52</v>
      </c>
      <c r="C67" s="58" t="s">
        <v>335</v>
      </c>
      <c r="D67" s="61"/>
      <c r="E67" s="106"/>
      <c r="F67" s="77" t="str">
        <f>IF(E67="","",IF(E67&gt;=150,1,IF(E67&lt;=0,0,ROUND(E67^2*'Reference Standards'!$U$115+E67*'Reference Standards'!$U$116+'Reference Standards'!$U$117,2))))</f>
        <v/>
      </c>
      <c r="G67" s="369" t="str">
        <f>IFERROR(AVERAGE(F67:F71),"")</f>
        <v/>
      </c>
      <c r="H67" s="370"/>
      <c r="I67" s="424"/>
      <c r="J67" s="422"/>
    </row>
    <row r="68" spans="1:10" ht="15.75" x14ac:dyDescent="0.25">
      <c r="A68" s="367"/>
      <c r="B68" s="367"/>
      <c r="C68" s="59" t="s">
        <v>355</v>
      </c>
      <c r="D68" s="56"/>
      <c r="E68" s="149"/>
      <c r="F68" s="77" t="str">
        <f>IF(E68="","",IF('Quantification Tool'!$B$20="Forested",IF(E68&gt;=12,1,IF(E68&lt;=0,0,ROUND(E68*'Reference Standards'!$U$149+'Reference Standards'!$U$150,2)))))</f>
        <v/>
      </c>
      <c r="G68" s="370"/>
      <c r="H68" s="370"/>
      <c r="I68" s="424"/>
      <c r="J68" s="422"/>
    </row>
    <row r="69" spans="1:10" ht="15.75" x14ac:dyDescent="0.25">
      <c r="A69" s="367"/>
      <c r="B69" s="367"/>
      <c r="C69" s="59" t="s">
        <v>356</v>
      </c>
      <c r="D69" s="56"/>
      <c r="E69" s="123"/>
      <c r="F69" s="77" t="str">
        <f>IF(E69="","",IF('Quantification Tool'!$B$20="Forested",IF(AND(E69&gt;=95,E69&lt;=200),1,IF(E69&lt;=0,0,IF(E69&gt;=300,0.5,IF(E69&lt;100,ROUND(E69*'Reference Standards'!$U$184+'Reference Standards'!$U$185,2),ROUND(E69*'Reference Standards'!$V$184+'Reference Standards'!$V$185,2)))))))</f>
        <v/>
      </c>
      <c r="G69" s="370"/>
      <c r="H69" s="370"/>
      <c r="I69" s="424"/>
      <c r="J69" s="422"/>
    </row>
    <row r="70" spans="1:10" ht="15.75" x14ac:dyDescent="0.25">
      <c r="A70" s="367"/>
      <c r="B70" s="367"/>
      <c r="C70" s="59" t="s">
        <v>391</v>
      </c>
      <c r="D70" s="200"/>
      <c r="E70" s="123"/>
      <c r="F70" s="77" t="str">
        <f>IF(E70="","",IF('Quantification Tool'!$B$20="Forested",IF(E70&gt;=100,1,ROUND(E70*'Reference Standards'!$U$219+'Reference Standards'!$U$220,2)),IF('Quantification Tool'!$B$20="Scrub-shrub",IF(E70&gt;=470,1,ROUND(E70*'Reference Standards'!$V$219+'Reference Standards'!$V$220,2)))))</f>
        <v/>
      </c>
      <c r="G70" s="370"/>
      <c r="H70" s="370"/>
      <c r="I70" s="424"/>
      <c r="J70" s="422"/>
    </row>
    <row r="71" spans="1:10" ht="15.75" x14ac:dyDescent="0.25">
      <c r="A71" s="367"/>
      <c r="B71" s="367"/>
      <c r="C71" s="60" t="s">
        <v>354</v>
      </c>
      <c r="D71" s="62"/>
      <c r="E71" s="123"/>
      <c r="F71" s="77" t="str">
        <f>IF(E71="","",IF('Quantification Tool'!$B$20="Herbaceous",IF(E71&gt;=80,1,IF(E71&lt;=0,0,ROUND(E71*'Reference Standards'!$U$251+'Reference Standards'!$U$252,2)))))</f>
        <v/>
      </c>
      <c r="G71" s="370"/>
      <c r="H71" s="370"/>
      <c r="I71" s="424"/>
      <c r="J71" s="422"/>
    </row>
    <row r="72" spans="1:10" ht="15.75" x14ac:dyDescent="0.25">
      <c r="A72" s="367"/>
      <c r="B72" s="366" t="s">
        <v>53</v>
      </c>
      <c r="C72" s="61" t="s">
        <v>54</v>
      </c>
      <c r="D72" s="61"/>
      <c r="E72" s="150"/>
      <c r="F72" s="209" t="str">
        <f>IF(E72="","",IF(OR('Quantification Tool'!$B$9="C",'Quantification Tool'!$B$9="E"),ROUND(IF(OR(E72&lt;=1,E72&gt;=9),0,IF(AND(E72&gt;=3.5,E72&lt;=6),1,IF(E72&lt;3.5,E72*'Reference Standards'!$U$289+'Reference Standards'!$U$290,E72*'Reference Standards'!$V$289+'Reference Standards'!$V$290))),2),IF(OR('Quantification Tool'!$B$9="A",'Quantification Tool'!$B$9="B"),ROUND(IF(OR(E72&gt;=6.5,E72=0),0,IF(E72&lt;=4,1,E72^2*'Reference Standards'!$U$320+E72*'Reference Standards'!$U$321+'Reference Standards'!$U$322)),2),IF('Quantification Tool'!$B$9="Bc",ROUND(IF(E72&gt;=8,0,IF(E72&lt;=5,1,E72^2*'Reference Standards'!$U$352+E72*'Reference Standards'!$U$353+'Reference Standards'!$U$354)),2)))))</f>
        <v/>
      </c>
      <c r="G72" s="462" t="str">
        <f>IFERROR(AVERAGE(F72:F75),"")</f>
        <v/>
      </c>
      <c r="H72" s="370"/>
      <c r="I72" s="424"/>
      <c r="J72" s="422"/>
    </row>
    <row r="73" spans="1:10" ht="15.75" x14ac:dyDescent="0.25">
      <c r="A73" s="367"/>
      <c r="B73" s="367"/>
      <c r="C73" s="56" t="s">
        <v>55</v>
      </c>
      <c r="D73" s="56"/>
      <c r="E73" s="149"/>
      <c r="F73" s="77" t="str">
        <f>IF(E73="","", ROUND(  IF(E73&lt;=1.1,0, IF(E73&gt;=3,1, IF(E73&lt;2, E73^2*'Reference Standards'!$U$387+  E73*'Reference Standards'!$U$388 + 'Reference Standards'!$U$389,     E73^2*'Reference Standards'!$V$387+  E73*'Reference Standards'!$V$388 + 'Reference Standards'!$V$389))),2))</f>
        <v/>
      </c>
      <c r="G73" s="461"/>
      <c r="H73" s="370"/>
      <c r="I73" s="424"/>
      <c r="J73" s="422"/>
    </row>
    <row r="74" spans="1:10" ht="15.75" x14ac:dyDescent="0.25">
      <c r="A74" s="367"/>
      <c r="B74" s="367"/>
      <c r="C74" s="56" t="s">
        <v>337</v>
      </c>
      <c r="D74" s="56"/>
      <c r="E74" s="149"/>
      <c r="F74" s="210" t="str">
        <f>IF(E74="","", IF(OR('Quantification Tool'!$B$9="A",LEFT('Quantification Tool'!$B$9,1)="B"), ROUND(IF(OR(E74&lt;=20,E74&gt;=90),0,IF(AND(E74&gt;=50,E74&lt;=60),1,IF(E74&lt;50, E74*'Reference Standards'!$U$422+'Reference Standards'!$U$423, E74*'Reference Standards'!$V$422+'Reference Standards'!$V$423))),2),   IF(OR('Quantification Tool'!$B$9="C",'Quantification Tool'!$B$9="E"), ROUND(IF(OR(E74&lt;=20,E74&gt;=85),0, IF(AND(E74&lt;=65,E74&gt;=45), 1, IF(E74&lt;45, E74*'Reference Standards'!$U$457+'Reference Standards'!$U$458,E74*'Reference Standards'!$V$457+'Reference Standards'!$V$458 ))),2)   )  ))</f>
        <v/>
      </c>
      <c r="G74" s="461"/>
      <c r="H74" s="370"/>
      <c r="I74" s="424"/>
      <c r="J74" s="422"/>
    </row>
    <row r="75" spans="1:10" ht="15.75" x14ac:dyDescent="0.25">
      <c r="A75" s="368"/>
      <c r="B75" s="368"/>
      <c r="C75" s="62" t="s">
        <v>180</v>
      </c>
      <c r="D75" s="62"/>
      <c r="E75" s="151"/>
      <c r="F75" s="299" t="str">
        <f>IF(E75="","",IF(E75&gt;=1.6,0,IF(E75&lt;=1,1,ROUND('Reference Standards'!$U$489*E75^3+'Reference Standards'!$U$490*E75^2+'Reference Standards'!$U$491*E75+'Reference Standards'!$U$492,2))))</f>
        <v/>
      </c>
      <c r="G75" s="463"/>
      <c r="H75" s="371"/>
      <c r="I75" s="365"/>
      <c r="J75" s="422"/>
    </row>
    <row r="76" spans="1:10" ht="15.75" x14ac:dyDescent="0.25">
      <c r="A76" s="361" t="s">
        <v>59</v>
      </c>
      <c r="B76" s="231" t="s">
        <v>94</v>
      </c>
      <c r="C76" s="63" t="s">
        <v>245</v>
      </c>
      <c r="D76" s="63"/>
      <c r="E76" s="47"/>
      <c r="F76" s="79" t="str">
        <f>IF(E76="","",IF('Quantification Tool'!$B$18="Coldwater",
ROUND(IF(E76&gt;=69.3,0,
IF(E76&lt;=59,1,E76*'Reference Standards'!$AD$16+'Reference Standards'!$AD$17)),2),                                   IF('Quantification Tool'!$B$18="Cold-transitional",
ROUND(IF(E76&gt;=71.38,0,
IF(E76&lt;=66.2,1,E76*'Reference Standards'!$AE$16+'Reference Standards'!$AE$17)),2),                                  IF(LEFT('Quantification Tool'!$B$18,1)="W",
ROUND(IF(E76&gt;=82.6,0,
IF(E76&lt;=69.8,1,
E76*'Reference Standards'!$AF$16+'Reference Standards'!$AF$17)),2)))))</f>
        <v/>
      </c>
      <c r="G76" s="78" t="str">
        <f>IFERROR(AVERAGE(F76),"")</f>
        <v/>
      </c>
      <c r="H76" s="359" t="str">
        <f>IFERROR(ROUND(AVERAGE(G76:G79),2),"")</f>
        <v/>
      </c>
      <c r="I76" s="360" t="str">
        <f>IF(H76="","",IF(H76&gt;0.69,"Functioning",IF(H76&gt;0.29,"Functioning At Risk",IF(H76&gt;-1,"Not Functioning"))))</f>
        <v/>
      </c>
      <c r="J76" s="422"/>
    </row>
    <row r="77" spans="1:10" ht="15.75" x14ac:dyDescent="0.25">
      <c r="A77" s="362"/>
      <c r="B77" s="64" t="s">
        <v>109</v>
      </c>
      <c r="C77" s="94" t="s">
        <v>386</v>
      </c>
      <c r="D77" s="65"/>
      <c r="E77" s="123"/>
      <c r="F77" s="211" t="str">
        <f>IF(E77="","",ROUND(IF(E77&gt;=4500,0,IF(E77&lt;=10,1, IF(E77&lt;1000, E77^2*'Reference Standards'!$AD$49+E77*'Reference Standards'!$AD$50+'Reference Standards'!$AD$51,E77^2*'Reference Standards'!$AE$49+E77*'Reference Standards'!$AE$50+'Reference Standards'!$AE$51))),2))</f>
        <v/>
      </c>
      <c r="G77" s="78" t="str">
        <f>IFERROR(AVERAGE(F77),"")</f>
        <v/>
      </c>
      <c r="H77" s="359"/>
      <c r="I77" s="360"/>
      <c r="J77" s="422"/>
    </row>
    <row r="78" spans="1:10" ht="15.75" x14ac:dyDescent="0.25">
      <c r="A78" s="362"/>
      <c r="B78" s="168" t="s">
        <v>246</v>
      </c>
      <c r="C78" s="168" t="s">
        <v>277</v>
      </c>
      <c r="D78" s="137"/>
      <c r="E78" s="169"/>
      <c r="F78" s="212" t="str">
        <f>IF(E78="","",  IF(OR('Quantification Tool'!$B$14="Northern Lakes and Forests",'Quantification Tool'!$B$14="North Central Hardwood Forests"), ROUND(IF(E78&gt;=151,0, IF(E78&lt;=3.9,1, IF(E78&lt;=12, E78*'Reference Standards'!$AD$86+'Reference Standards'!$AD$87,IF(E78&lt;50,E78*'Reference Standards'!$AE$86+'Reference Standards'!$AE$87, E78*'Reference Standards'!$AF$86+'Reference Standards'!$AF$87)))),2),
IF(OR('Quantification Tool'!$B$14="Southern Michigan/Northern Indiana Drift Plains"), ROUND(IF(E78&gt;=186,0, IF(E78&lt;=12.5,1, IF(E78&lt;=30, E78*'Reference Standards'!$AG$86+'Reference Standards'!$AG$87,IF(E78&lt;90,E78*'Reference Standards'!$AH$86+'Reference Standards'!$AH$87,E78*'Reference Standards'!$AI$86+'Reference Standards'!$AI$87)))),2),
IF(OR('Quantification Tool'!$B$14="Huron Erie Lake Plains",'Quantification Tool'!$B$14="Eastern Corn Belt Plains"), ROUND(IF(E78&gt;=550,0, IF(E78&lt;=29,1, IF(E78&lt;=70, E78*'Reference Standards'!$AD$118+'Reference Standards'!$AD$119,IF(E78&lt;160,  E78*'Reference Standards'!$AE$118+'Reference Standards'!$AE$119,   E78*'Reference Standards'!$AF$118+'Reference Standards'!$AF$119)))),2)))    ))</f>
        <v/>
      </c>
      <c r="G78" s="79" t="str">
        <f>IFERROR(AVERAGE(F78),"")</f>
        <v/>
      </c>
      <c r="H78" s="359"/>
      <c r="I78" s="360"/>
      <c r="J78" s="422"/>
    </row>
    <row r="79" spans="1:10" ht="15.75" x14ac:dyDescent="0.25">
      <c r="A79" s="363"/>
      <c r="B79" s="232" t="s">
        <v>247</v>
      </c>
      <c r="C79" s="240" t="s">
        <v>387</v>
      </c>
      <c r="D79" s="244"/>
      <c r="E79" s="106"/>
      <c r="F79" s="212" t="str">
        <f>IF(E79="","",          IF(LEFT('Quantification Tool'!$B$18,1)="C",
ROUND(IF(E79&lt;=5.25,0,
IF(E79&gt;=7.75,1,E79*'Reference Standards'!$AD$152+'Reference Standards'!$AD$153)),2), IF(LEFT('Quantification Tool'!$B$18,1)="W",
ROUND(IF(E79&lt;=3.25,0,
IF(E79&gt;=5.75,1,
E79*'Reference Standards'!$AE$152+'Reference Standards'!$AE$153)),2))))</f>
        <v/>
      </c>
      <c r="G79" s="80" t="str">
        <f>IFERROR(AVERAGE(F79),"")</f>
        <v/>
      </c>
      <c r="H79" s="359"/>
      <c r="I79" s="360"/>
      <c r="J79" s="422"/>
    </row>
    <row r="80" spans="1:10" ht="15.75" x14ac:dyDescent="0.25">
      <c r="A80" s="380" t="s">
        <v>60</v>
      </c>
      <c r="B80" s="378" t="s">
        <v>249</v>
      </c>
      <c r="C80" s="99" t="s">
        <v>388</v>
      </c>
      <c r="D80" s="100"/>
      <c r="E80" s="150"/>
      <c r="F80" s="213" t="str">
        <f>IF(E80="","",IF('Quantification Tool'!$B$19="Wadeable",IF(E80&lt;=-9,0,IF(E80&gt;=9,1,ROUND(E80*'Reference Standards'!AM$13+'Reference Standards'!AM$14,2))) ))</f>
        <v/>
      </c>
      <c r="G80" s="408" t="str">
        <f>IFERROR(AVERAGE(F80:F81),"")</f>
        <v/>
      </c>
      <c r="H80" s="414" t="str">
        <f>IFERROR(ROUND(AVERAGE(G80:G82),2),"")</f>
        <v/>
      </c>
      <c r="I80" s="360" t="str">
        <f>IF(H80="","",IF(H80&gt;0.69,"Functioning",IF(H80&gt;0.29,"Functioning At Risk",IF(H80&gt;-1,"Not Functioning"))))</f>
        <v/>
      </c>
      <c r="J80" s="422"/>
    </row>
    <row r="81" spans="1:10" ht="15.75" x14ac:dyDescent="0.25">
      <c r="A81" s="381"/>
      <c r="B81" s="379"/>
      <c r="C81" s="101" t="s">
        <v>389</v>
      </c>
      <c r="D81" s="66"/>
      <c r="E81" s="151"/>
      <c r="F81" s="81" t="str">
        <f>IF(E81="","", IF('Quantification Tool'!$B$19="Non-wadeable",IF(E81&lt;=0,0, IF(E81&gt;=100,1, ROUND( E81*'Reference Standards'!AM$46+'Reference Standards'!AM$47,2)))))</f>
        <v/>
      </c>
      <c r="G81" s="409"/>
      <c r="H81" s="414"/>
      <c r="I81" s="360"/>
      <c r="J81" s="422"/>
    </row>
    <row r="82" spans="1:10" ht="15.75" x14ac:dyDescent="0.25">
      <c r="A82" s="382"/>
      <c r="B82" s="233" t="s">
        <v>84</v>
      </c>
      <c r="C82" s="66" t="s">
        <v>390</v>
      </c>
      <c r="D82" s="66"/>
      <c r="E82" s="124"/>
      <c r="F82" s="214" t="str">
        <f>IF(E82="","",IF(AND('Quantification Tool'!$B$19="Wadeable",OR('Quantification Tool'!$B$18="Warm",'Quantification Tool'!$B$18="Warm-transitional")),IF(E82&lt;=-10,0,IF(E82&gt;=10,1,ROUND(E82*'Reference Standards'!$AM$80+'Reference Standards'!$AM$81,2)))))</f>
        <v/>
      </c>
      <c r="G82" s="81" t="str">
        <f>IFERROR(AVERAGE(F82),"")</f>
        <v/>
      </c>
      <c r="H82" s="414"/>
      <c r="I82" s="360"/>
      <c r="J82" s="423"/>
    </row>
    <row r="85" spans="1:10" ht="21" x14ac:dyDescent="0.35">
      <c r="A85" s="128" t="s">
        <v>182</v>
      </c>
      <c r="B85" s="129"/>
      <c r="C85" s="130" t="s">
        <v>183</v>
      </c>
      <c r="D85" s="129"/>
      <c r="E85" s="131"/>
      <c r="F85" s="132"/>
      <c r="G85" s="383" t="s">
        <v>17</v>
      </c>
      <c r="H85" s="384"/>
      <c r="I85" s="384"/>
      <c r="J85" s="385"/>
    </row>
    <row r="86" spans="1:10" ht="31.5" x14ac:dyDescent="0.25">
      <c r="A86" s="246" t="s">
        <v>1</v>
      </c>
      <c r="B86" s="246" t="s">
        <v>2</v>
      </c>
      <c r="C86" s="386" t="s">
        <v>346</v>
      </c>
      <c r="D86" s="396"/>
      <c r="E86" s="246" t="s">
        <v>15</v>
      </c>
      <c r="F86" s="246" t="s">
        <v>16</v>
      </c>
      <c r="G86" s="246" t="s">
        <v>18</v>
      </c>
      <c r="H86" s="246" t="s">
        <v>19</v>
      </c>
      <c r="I86" s="246" t="s">
        <v>19</v>
      </c>
      <c r="J86" s="246" t="s">
        <v>20</v>
      </c>
    </row>
    <row r="87" spans="1:10" ht="15.75" x14ac:dyDescent="0.25">
      <c r="A87" s="375" t="s">
        <v>62</v>
      </c>
      <c r="B87" s="376" t="s">
        <v>168</v>
      </c>
      <c r="C87" s="108" t="s">
        <v>217</v>
      </c>
      <c r="D87" s="107"/>
      <c r="E87" s="106"/>
      <c r="F87" s="204" t="str">
        <f>IF(E87="","",IF(E87&gt;81,0,IF(E87&lt;=30,1,ROUND(IF(E87&gt;55,'Reference Standards'!C$14*E87+'Reference Standards'!C$15,'Reference Standards'!D$14*E87+'Reference Standards'!D$15),2))))</f>
        <v/>
      </c>
      <c r="G87" s="415" t="str">
        <f>IFERROR(AVERAGE(F87:F88),"")</f>
        <v/>
      </c>
      <c r="H87" s="415" t="str">
        <f>IFERROR(ROUND(AVERAGE(G87),2),"")</f>
        <v/>
      </c>
      <c r="I87" s="364" t="str">
        <f>IF(H87="","",IF(H87&gt;0.69,"Functioning",IF(H87&gt;0.29,"Functioning At Risk",IF(H87&gt;-1,"Not Functioning"))))</f>
        <v/>
      </c>
      <c r="J87" s="421" t="str">
        <f>IF(AND(H87="",H89="",H91="",H104="",H108=""),"",ROUND((IF(H87="",0,H87)*0.2)+(IF(H89="",0,H89)*0.2)+(IF(H91="",0,H91)*0.2)+(IF(H104="",0,H104)*0.2)+(IF(H108="",0,H108)*0.2),2))</f>
        <v/>
      </c>
    </row>
    <row r="88" spans="1:10" s="251" customFormat="1" ht="15.75" x14ac:dyDescent="0.25">
      <c r="A88" s="375"/>
      <c r="B88" s="377"/>
      <c r="C88" s="109" t="s">
        <v>338</v>
      </c>
      <c r="D88" s="54"/>
      <c r="E88" s="124"/>
      <c r="F88" s="205" t="str">
        <f>IF(E88="","",IF(E88&gt;=3.33,0,IF(E88=0,1,ROUND('Reference Standards'!C$47*E88+'Reference Standards'!C$48,2))))</f>
        <v/>
      </c>
      <c r="G88" s="416"/>
      <c r="H88" s="417"/>
      <c r="I88" s="365"/>
      <c r="J88" s="422"/>
    </row>
    <row r="89" spans="1:10" ht="15.75" x14ac:dyDescent="0.25">
      <c r="A89" s="372" t="s">
        <v>6</v>
      </c>
      <c r="B89" s="374" t="s">
        <v>7</v>
      </c>
      <c r="C89" s="55" t="s">
        <v>8</v>
      </c>
      <c r="D89" s="166"/>
      <c r="E89" s="123"/>
      <c r="F89" s="206" t="str">
        <f>IF(E89="","",ROUND(IF(E89&gt;=1.714,0,    IF(E89&lt;=1,1,E89*'Reference Standards'!$L$13+'Reference Standards'!$L$14)),2))</f>
        <v/>
      </c>
      <c r="G89" s="411" t="str">
        <f>IFERROR(AVERAGE(F89:F90),"")</f>
        <v/>
      </c>
      <c r="H89" s="411" t="str">
        <f>IFERROR(ROUND(AVERAGE(G89),2),"")</f>
        <v/>
      </c>
      <c r="I89" s="364" t="str">
        <f>IF(H89="","",IF(H89&gt;0.69,"Functioning",IF(H89&gt;0.29,"Functioning At Risk",IF(H89&gt;-1,"Not Functioning"))))</f>
        <v/>
      </c>
      <c r="J89" s="422"/>
    </row>
    <row r="90" spans="1:10" ht="15.75" x14ac:dyDescent="0.25">
      <c r="A90" s="373"/>
      <c r="B90" s="373"/>
      <c r="C90" s="164" t="s">
        <v>9</v>
      </c>
      <c r="D90" s="165"/>
      <c r="E90" s="124"/>
      <c r="F90" s="207" t="str">
        <f>IF(E90="","",IF(OR('Quantification Tool'!$B$9="A",'Quantification Tool'!$B$9="B", 'Quantification Tool'!$B$9="Bc"),IF(E90&lt;=1.05,0,IF(E90&gt;=2.2,1,ROUND(IF(E90&lt;1.4,E90*'Reference Standards'!$L$83+'Reference Standards'!$L$84,E90*'Reference Standards'!$M$83+'Reference Standards'!$M$84),2))),IF(OR('Quantification Tool'!$B$9="C",'Quantification Tool'!$B$9="E"),IF(E90&lt;1.7,0,IF(E90&gt;=5,1,ROUND(IF(E90&lt;2.4,E90*'Reference Standards'!$M$48+'Reference Standards'!$M$49,E90*'Reference Standards'!$L$48+'Reference Standards'!$L$49),2))))))</f>
        <v/>
      </c>
      <c r="G90" s="412"/>
      <c r="H90" s="412"/>
      <c r="I90" s="365"/>
      <c r="J90" s="422"/>
    </row>
    <row r="91" spans="1:10" ht="15.75" customHeight="1" x14ac:dyDescent="0.25">
      <c r="A91" s="366" t="s">
        <v>27</v>
      </c>
      <c r="B91" s="265" t="s">
        <v>28</v>
      </c>
      <c r="C91" s="266" t="s">
        <v>24</v>
      </c>
      <c r="D91" s="267"/>
      <c r="E91" s="47"/>
      <c r="F91" s="77" t="str">
        <f>IF(E91="","",IF(E91&gt;=2825,1,IF(E91&lt;=0,0, ROUND(IF(E91&lt;1350,E91*'Reference Standards'!$U$13+'Reference Standards'!$U$14,E91*'Reference Standards'!$V$13+'Reference Standards'!$V$14),2))))</f>
        <v/>
      </c>
      <c r="G91" s="262" t="str">
        <f>IFERROR(AVERAGE(F91:F91),"")</f>
        <v/>
      </c>
      <c r="H91" s="369" t="str">
        <f>IFERROR(ROUND(AVERAGE(G91:G103),2),"")</f>
        <v/>
      </c>
      <c r="I91" s="364" t="str">
        <f>IF(H91="","",IF(H91&gt;0.69,"Functioning",IF(H91&gt;0.29,"Functioning At Risk",IF(H91&gt;-1,"Not Functioning"))))</f>
        <v/>
      </c>
      <c r="J91" s="422"/>
    </row>
    <row r="92" spans="1:10" ht="15.75" x14ac:dyDescent="0.25">
      <c r="A92" s="367"/>
      <c r="B92" s="366" t="s">
        <v>241</v>
      </c>
      <c r="C92" s="56" t="s">
        <v>51</v>
      </c>
      <c r="D92" s="56"/>
      <c r="E92" s="305"/>
      <c r="F92" s="225" t="str">
        <f>IF(E92="","",IF(OR(E92="Ex/Ex",E92="Ex/VH",E92="Ex/H",E92="Ex/M",E92="VH/Ex",E92="VH/VH", E92="H/Ex",E92="H/VH"),0, IF(OR(E92="M/Ex"),0.1,IF(OR(E92="VH/H",E92="VH/M",E92="H/H",E92="H/M", E92="M/VH"),0.2, IF(OR(E92="Ex/VL",E92="Ex/L", E92="M/H"),0.3, IF(OR(E92="VH/L",E92="H/L"),0.4, IF(OR(E92="VH/VL",E92="H/VL",E92="M/M"),0.5, IF(OR(E92="M/L",E92="L/Ex"),0.6, IF(OR(E92="M/VL",E92="L/VH", E92="L/H",E92="L/M",E92="L/L",E92="L/VL", LEFT(E92,2)="VL"),1)))))))))</f>
        <v/>
      </c>
      <c r="G92" s="418" t="str">
        <f>IFERROR(AVERAGE(F92:F94),"")</f>
        <v/>
      </c>
      <c r="H92" s="370"/>
      <c r="I92" s="424"/>
      <c r="J92" s="422"/>
    </row>
    <row r="93" spans="1:10" ht="15.75" x14ac:dyDescent="0.25">
      <c r="A93" s="367"/>
      <c r="B93" s="367"/>
      <c r="C93" s="57" t="s">
        <v>108</v>
      </c>
      <c r="D93" s="57"/>
      <c r="E93" s="123"/>
      <c r="F93" s="77" t="str">
        <f>IF(E93="","",ROUND(IF(E93&gt;=75,0,IF(E93&lt;=5,1,IF(E93&gt;10,E93*'Reference Standards'!U$48+'Reference Standards'!U$49,E93*'Reference Standards'!V$48+'Reference Standards'!V$49 ))),2))</f>
        <v/>
      </c>
      <c r="G93" s="418"/>
      <c r="H93" s="370"/>
      <c r="I93" s="424"/>
      <c r="J93" s="422"/>
    </row>
    <row r="94" spans="1:10" ht="15.75" x14ac:dyDescent="0.25">
      <c r="A94" s="367"/>
      <c r="B94" s="368"/>
      <c r="C94" s="56" t="s">
        <v>336</v>
      </c>
      <c r="D94" s="56"/>
      <c r="E94" s="124"/>
      <c r="F94" s="208" t="str">
        <f>IF(E94="","",IF(E94&gt;=30,0,IF(E94&lt;=0,1,ROUND(E94*'Reference Standards'!$U$81+'Reference Standards'!$U$82,2))))</f>
        <v/>
      </c>
      <c r="G94" s="418"/>
      <c r="H94" s="370"/>
      <c r="I94" s="424"/>
      <c r="J94" s="422"/>
    </row>
    <row r="95" spans="1:10" ht="15.75" x14ac:dyDescent="0.25">
      <c r="A95" s="367"/>
      <c r="B95" s="366" t="s">
        <v>52</v>
      </c>
      <c r="C95" s="58" t="s">
        <v>335</v>
      </c>
      <c r="D95" s="61"/>
      <c r="E95" s="106"/>
      <c r="F95" s="77" t="str">
        <f>IF(E95="","",IF(E95&gt;=150,1,IF(E95&lt;=0,0,ROUND(E95^2*'Reference Standards'!$U$115+E95*'Reference Standards'!$U$116+'Reference Standards'!$U$117,2))))</f>
        <v/>
      </c>
      <c r="G95" s="369" t="str">
        <f>IFERROR(AVERAGE(F95:F99),"")</f>
        <v/>
      </c>
      <c r="H95" s="370"/>
      <c r="I95" s="424"/>
      <c r="J95" s="422"/>
    </row>
    <row r="96" spans="1:10" ht="15.75" x14ac:dyDescent="0.25">
      <c r="A96" s="367"/>
      <c r="B96" s="367"/>
      <c r="C96" s="59" t="s">
        <v>355</v>
      </c>
      <c r="D96" s="56"/>
      <c r="E96" s="149"/>
      <c r="F96" s="77" t="str">
        <f>IF(E96="","",IF('Quantification Tool'!$B$20="Forested",IF(E96&gt;=12,1,IF(E96&lt;=0,0,ROUND(E96*'Reference Standards'!$U$149+'Reference Standards'!$U$150,2)))))</f>
        <v/>
      </c>
      <c r="G96" s="370"/>
      <c r="H96" s="370"/>
      <c r="I96" s="424"/>
      <c r="J96" s="422"/>
    </row>
    <row r="97" spans="1:10" ht="15.75" x14ac:dyDescent="0.25">
      <c r="A97" s="367"/>
      <c r="B97" s="367"/>
      <c r="C97" s="59" t="s">
        <v>356</v>
      </c>
      <c r="D97" s="56"/>
      <c r="E97" s="123"/>
      <c r="F97" s="77" t="str">
        <f>IF(E97="","",IF('Quantification Tool'!$B$20="Forested",IF(AND(E97&gt;=95,E97&lt;=200),1,IF(E97&lt;=0,0,IF(E97&gt;=300,0.5,IF(E97&lt;100,ROUND(E97*'Reference Standards'!$U$184+'Reference Standards'!$U$185,2),ROUND(E97*'Reference Standards'!$V$184+'Reference Standards'!$V$185,2)))))))</f>
        <v/>
      </c>
      <c r="G97" s="370"/>
      <c r="H97" s="370"/>
      <c r="I97" s="424"/>
      <c r="J97" s="422"/>
    </row>
    <row r="98" spans="1:10" ht="15.75" x14ac:dyDescent="0.25">
      <c r="A98" s="367"/>
      <c r="B98" s="367"/>
      <c r="C98" s="59" t="s">
        <v>391</v>
      </c>
      <c r="D98" s="200"/>
      <c r="E98" s="123"/>
      <c r="F98" s="77" t="str">
        <f>IF(E98="","",IF('Quantification Tool'!$B$20="Forested",IF(E98&gt;=100,1,ROUND(E98*'Reference Standards'!$U$219+'Reference Standards'!$U$220,2)),IF('Quantification Tool'!$B$20="Scrub-shrub",IF(E98&gt;=470,1,ROUND(E98*'Reference Standards'!$V$219+'Reference Standards'!$V$220,2)))))</f>
        <v/>
      </c>
      <c r="G98" s="370"/>
      <c r="H98" s="370"/>
      <c r="I98" s="424"/>
      <c r="J98" s="422"/>
    </row>
    <row r="99" spans="1:10" ht="15.75" x14ac:dyDescent="0.25">
      <c r="A99" s="367"/>
      <c r="B99" s="367"/>
      <c r="C99" s="60" t="s">
        <v>354</v>
      </c>
      <c r="D99" s="62"/>
      <c r="E99" s="123"/>
      <c r="F99" s="77" t="str">
        <f>IF(E99="","",IF('Quantification Tool'!$B$20="Herbaceous",IF(E99&gt;=80,1,IF(E99&lt;=0,0,ROUND(E99*'Reference Standards'!$U$251+'Reference Standards'!$U$252,2)))))</f>
        <v/>
      </c>
      <c r="G99" s="370"/>
      <c r="H99" s="370"/>
      <c r="I99" s="424"/>
      <c r="J99" s="422"/>
    </row>
    <row r="100" spans="1:10" ht="15.75" x14ac:dyDescent="0.25">
      <c r="A100" s="367"/>
      <c r="B100" s="366" t="s">
        <v>53</v>
      </c>
      <c r="C100" s="61" t="s">
        <v>54</v>
      </c>
      <c r="D100" s="61"/>
      <c r="E100" s="150"/>
      <c r="F100" s="209" t="str">
        <f>IF(E100="","",IF(OR('Quantification Tool'!$B$9="C",'Quantification Tool'!$B$9="E"),ROUND(IF(OR(E100&lt;=1,E100&gt;=9),0,IF(AND(E100&gt;=3.5,E100&lt;=6),1,IF(E100&lt;3.5,E100*'Reference Standards'!$U$289+'Reference Standards'!$U$290,E100*'Reference Standards'!$V$289+'Reference Standards'!$V$290))),2),IF(OR('Quantification Tool'!$B$9="A",'Quantification Tool'!$B$9="B"),ROUND(IF(OR(E100&gt;=6.5,E100=0),0,IF(E100&lt;=4,1,E100^2*'Reference Standards'!$U$320+E100*'Reference Standards'!$U$321+'Reference Standards'!$U$322)),2),IF('Quantification Tool'!$B$9="Bc",ROUND(IF(E100&gt;=8,0,IF(E100&lt;=5,1,E100^2*'Reference Standards'!$U$352+E100*'Reference Standards'!$U$353+'Reference Standards'!$U$354)),2)))))</f>
        <v/>
      </c>
      <c r="G100" s="462" t="str">
        <f>IFERROR(AVERAGE(F100:F103),"")</f>
        <v/>
      </c>
      <c r="H100" s="370"/>
      <c r="I100" s="424"/>
      <c r="J100" s="422"/>
    </row>
    <row r="101" spans="1:10" ht="15.75" x14ac:dyDescent="0.25">
      <c r="A101" s="367"/>
      <c r="B101" s="367"/>
      <c r="C101" s="56" t="s">
        <v>55</v>
      </c>
      <c r="D101" s="56"/>
      <c r="E101" s="149"/>
      <c r="F101" s="77" t="str">
        <f>IF(E101="","", ROUND(  IF(E101&lt;=1.1,0, IF(E101&gt;=3,1, IF(E101&lt;2, E101^2*'Reference Standards'!$U$387+  E101*'Reference Standards'!$U$388 + 'Reference Standards'!$U$389,     E101^2*'Reference Standards'!$V$387+  E101*'Reference Standards'!$V$388 + 'Reference Standards'!$V$389))),2))</f>
        <v/>
      </c>
      <c r="G101" s="461"/>
      <c r="H101" s="370"/>
      <c r="I101" s="424"/>
      <c r="J101" s="422"/>
    </row>
    <row r="102" spans="1:10" ht="15.75" x14ac:dyDescent="0.25">
      <c r="A102" s="367"/>
      <c r="B102" s="367"/>
      <c r="C102" s="56" t="s">
        <v>337</v>
      </c>
      <c r="D102" s="56"/>
      <c r="E102" s="149"/>
      <c r="F102" s="210" t="str">
        <f>IF(E102="","", IF(OR('Quantification Tool'!$B$9="A",LEFT('Quantification Tool'!$B$9,1)="B"), ROUND(IF(OR(E102&lt;=20,E102&gt;=90),0,IF(AND(E102&gt;=50,E102&lt;=60),1,IF(E102&lt;50, E102*'Reference Standards'!$U$422+'Reference Standards'!$U$423, E102*'Reference Standards'!$V$422+'Reference Standards'!$V$423))),2),   IF(OR('Quantification Tool'!$B$9="C",'Quantification Tool'!$B$9="E"), ROUND(IF(OR(E102&lt;=20,E102&gt;=85),0, IF(AND(E102&lt;=65,E102&gt;=45), 1, IF(E102&lt;45, E102*'Reference Standards'!$U$457+'Reference Standards'!$U$458,E102*'Reference Standards'!$V$457+'Reference Standards'!$V$458 ))),2)   )  ))</f>
        <v/>
      </c>
      <c r="G102" s="461"/>
      <c r="H102" s="370"/>
      <c r="I102" s="424"/>
      <c r="J102" s="422"/>
    </row>
    <row r="103" spans="1:10" ht="15.75" x14ac:dyDescent="0.25">
      <c r="A103" s="368"/>
      <c r="B103" s="368"/>
      <c r="C103" s="62" t="s">
        <v>180</v>
      </c>
      <c r="D103" s="62"/>
      <c r="E103" s="151"/>
      <c r="F103" s="299" t="str">
        <f>IF(E103="","",IF(E103&gt;=1.6,0,IF(E103&lt;=1,1,ROUND('Reference Standards'!$U$489*E103^3+'Reference Standards'!$U$490*E103^2+'Reference Standards'!$U$491*E103+'Reference Standards'!$U$492,2))))</f>
        <v/>
      </c>
      <c r="G103" s="463"/>
      <c r="H103" s="371"/>
      <c r="I103" s="365"/>
      <c r="J103" s="422"/>
    </row>
    <row r="104" spans="1:10" ht="15.75" x14ac:dyDescent="0.25">
      <c r="A104" s="361" t="s">
        <v>59</v>
      </c>
      <c r="B104" s="231" t="s">
        <v>94</v>
      </c>
      <c r="C104" s="63" t="s">
        <v>245</v>
      </c>
      <c r="D104" s="63"/>
      <c r="E104" s="47"/>
      <c r="F104" s="79" t="str">
        <f>IF(E104="","",IF('Quantification Tool'!$B$18="Coldwater",
ROUND(IF(E104&gt;=69.3,0,
IF(E104&lt;=59,1,E104*'Reference Standards'!$AD$16+'Reference Standards'!$AD$17)),2),                                   IF('Quantification Tool'!$B$18="Cold-transitional",
ROUND(IF(E104&gt;=71.38,0,
IF(E104&lt;=66.2,1,E104*'Reference Standards'!$AE$16+'Reference Standards'!$AE$17)),2),                                  IF(LEFT('Quantification Tool'!$B$18,1)="W",
ROUND(IF(E104&gt;=82.6,0,
IF(E104&lt;=69.8,1,
E104*'Reference Standards'!$AF$16+'Reference Standards'!$AF$17)),2)))))</f>
        <v/>
      </c>
      <c r="G104" s="78" t="str">
        <f>IFERROR(AVERAGE(F104),"")</f>
        <v/>
      </c>
      <c r="H104" s="359" t="str">
        <f>IFERROR(ROUND(AVERAGE(G104:G107),2),"")</f>
        <v/>
      </c>
      <c r="I104" s="360" t="str">
        <f>IF(H104="","",IF(H104&gt;0.69,"Functioning",IF(H104&gt;0.29,"Functioning At Risk",IF(H104&gt;-1,"Not Functioning"))))</f>
        <v/>
      </c>
      <c r="J104" s="422"/>
    </row>
    <row r="105" spans="1:10" ht="15.75" x14ac:dyDescent="0.25">
      <c r="A105" s="362"/>
      <c r="B105" s="64" t="s">
        <v>109</v>
      </c>
      <c r="C105" s="94" t="s">
        <v>386</v>
      </c>
      <c r="D105" s="65"/>
      <c r="E105" s="123"/>
      <c r="F105" s="211" t="str">
        <f>IF(E105="","",ROUND(IF(E105&gt;=4500,0,IF(E105&lt;=10,1, IF(E105&lt;1000, E105^2*'Reference Standards'!$AD$49+E105*'Reference Standards'!$AD$50+'Reference Standards'!$AD$51,E105^2*'Reference Standards'!$AE$49+E105*'Reference Standards'!$AE$50+'Reference Standards'!$AE$51))),2))</f>
        <v/>
      </c>
      <c r="G105" s="78" t="str">
        <f>IFERROR(AVERAGE(F105),"")</f>
        <v/>
      </c>
      <c r="H105" s="359"/>
      <c r="I105" s="360"/>
      <c r="J105" s="422"/>
    </row>
    <row r="106" spans="1:10" ht="15.75" x14ac:dyDescent="0.25">
      <c r="A106" s="362"/>
      <c r="B106" s="168" t="s">
        <v>246</v>
      </c>
      <c r="C106" s="168" t="s">
        <v>277</v>
      </c>
      <c r="D106" s="137"/>
      <c r="E106" s="169"/>
      <c r="F106" s="212" t="str">
        <f>IF(E106="","",  IF(OR('Quantification Tool'!$B$14="Northern Lakes and Forests",'Quantification Tool'!$B$14="North Central Hardwood Forests"), ROUND(IF(E106&gt;=151,0, IF(E106&lt;=3.9,1, IF(E106&lt;=12, E106*'Reference Standards'!$AD$86+'Reference Standards'!$AD$87,IF(E106&lt;50,E106*'Reference Standards'!$AE$86+'Reference Standards'!$AE$87, E106*'Reference Standards'!$AF$86+'Reference Standards'!$AF$87)))),2),
IF(OR('Quantification Tool'!$B$14="Southern Michigan/Northern Indiana Drift Plains"), ROUND(IF(E106&gt;=186,0, IF(E106&lt;=12.5,1, IF(E106&lt;=30, E106*'Reference Standards'!$AG$86+'Reference Standards'!$AG$87,IF(E106&lt;90,E106*'Reference Standards'!$AH$86+'Reference Standards'!$AH$87,E106*'Reference Standards'!$AI$86+'Reference Standards'!$AI$87)))),2),
IF(OR('Quantification Tool'!$B$14="Huron Erie Lake Plains",'Quantification Tool'!$B$14="Eastern Corn Belt Plains"), ROUND(IF(E106&gt;=550,0, IF(E106&lt;=29,1, IF(E106&lt;=70, E106*'Reference Standards'!$AD$118+'Reference Standards'!$AD$119,IF(E106&lt;160,  E106*'Reference Standards'!$AE$118+'Reference Standards'!$AE$119,   E106*'Reference Standards'!$AF$118+'Reference Standards'!$AF$119)))),2)))    ))</f>
        <v/>
      </c>
      <c r="G106" s="79" t="str">
        <f>IFERROR(AVERAGE(F106),"")</f>
        <v/>
      </c>
      <c r="H106" s="359"/>
      <c r="I106" s="360"/>
      <c r="J106" s="422"/>
    </row>
    <row r="107" spans="1:10" ht="15.75" x14ac:dyDescent="0.25">
      <c r="A107" s="363"/>
      <c r="B107" s="232" t="s">
        <v>247</v>
      </c>
      <c r="C107" s="240" t="s">
        <v>387</v>
      </c>
      <c r="D107" s="244"/>
      <c r="E107" s="106"/>
      <c r="F107" s="212" t="str">
        <f>IF(E107="","",          IF(LEFT('Quantification Tool'!$B$18,1)="C",
ROUND(IF(E107&lt;=5.25,0,
IF(E107&gt;=7.75,1,E107*'Reference Standards'!$AD$152+'Reference Standards'!$AD$153)),2), IF(LEFT('Quantification Tool'!$B$18,1)="W",
ROUND(IF(E107&lt;=3.25,0,
IF(E107&gt;=5.75,1,
E107*'Reference Standards'!$AE$152+'Reference Standards'!$AE$153)),2))))</f>
        <v/>
      </c>
      <c r="G107" s="80" t="str">
        <f>IFERROR(AVERAGE(F107),"")</f>
        <v/>
      </c>
      <c r="H107" s="359"/>
      <c r="I107" s="360"/>
      <c r="J107" s="422"/>
    </row>
    <row r="108" spans="1:10" ht="15.75" x14ac:dyDescent="0.25">
      <c r="A108" s="380" t="s">
        <v>60</v>
      </c>
      <c r="B108" s="378" t="s">
        <v>249</v>
      </c>
      <c r="C108" s="99" t="s">
        <v>388</v>
      </c>
      <c r="D108" s="100"/>
      <c r="E108" s="150"/>
      <c r="F108" s="213" t="str">
        <f>IF(E108="","",IF('Quantification Tool'!$B$19="Wadeable",IF(E108&lt;=-9,0,IF(E108&gt;=9,1,ROUND(E108*'Reference Standards'!AM$13+'Reference Standards'!AM$14,2))) ))</f>
        <v/>
      </c>
      <c r="G108" s="408" t="str">
        <f>IFERROR(AVERAGE(F108:F109),"")</f>
        <v/>
      </c>
      <c r="H108" s="414" t="str">
        <f>IFERROR(ROUND(AVERAGE(G108:G110),2),"")</f>
        <v/>
      </c>
      <c r="I108" s="360" t="str">
        <f>IF(H108="","",IF(H108&gt;0.69,"Functioning",IF(H108&gt;0.29,"Functioning At Risk",IF(H108&gt;-1,"Not Functioning"))))</f>
        <v/>
      </c>
      <c r="J108" s="422"/>
    </row>
    <row r="109" spans="1:10" ht="15.75" x14ac:dyDescent="0.25">
      <c r="A109" s="381"/>
      <c r="B109" s="379"/>
      <c r="C109" s="101" t="s">
        <v>389</v>
      </c>
      <c r="D109" s="66"/>
      <c r="E109" s="151"/>
      <c r="F109" s="81" t="str">
        <f>IF(E109="","", IF('Quantification Tool'!$B$19="Non-wadeable",IF(E109&lt;=0,0, IF(E109&gt;=100,1, ROUND( E109*'Reference Standards'!AM$46+'Reference Standards'!AM$47,2)))))</f>
        <v/>
      </c>
      <c r="G109" s="409"/>
      <c r="H109" s="414"/>
      <c r="I109" s="360"/>
      <c r="J109" s="422"/>
    </row>
    <row r="110" spans="1:10" ht="15.75" x14ac:dyDescent="0.25">
      <c r="A110" s="382"/>
      <c r="B110" s="233" t="s">
        <v>84</v>
      </c>
      <c r="C110" s="66" t="s">
        <v>390</v>
      </c>
      <c r="D110" s="66"/>
      <c r="E110" s="124"/>
      <c r="F110" s="214" t="str">
        <f>IF(E110="","",IF(AND('Quantification Tool'!$B$19="Wadeable",OR('Quantification Tool'!$B$18="Warm",'Quantification Tool'!$B$18="Warm-transitional")),IF(E110&lt;=-10,0,IF(E110&gt;=10,1,ROUND(E110*'Reference Standards'!$AM$80+'Reference Standards'!$AM$81,2)))))</f>
        <v/>
      </c>
      <c r="G110" s="81" t="str">
        <f>IFERROR(AVERAGE(F110),"")</f>
        <v/>
      </c>
      <c r="H110" s="414"/>
      <c r="I110" s="360"/>
      <c r="J110" s="423"/>
    </row>
    <row r="113" spans="1:10" ht="21" x14ac:dyDescent="0.35">
      <c r="A113" s="128" t="s">
        <v>182</v>
      </c>
      <c r="B113" s="129"/>
      <c r="C113" s="130" t="s">
        <v>183</v>
      </c>
      <c r="D113" s="129"/>
      <c r="E113" s="131"/>
      <c r="F113" s="132"/>
      <c r="G113" s="383" t="s">
        <v>17</v>
      </c>
      <c r="H113" s="384"/>
      <c r="I113" s="384"/>
      <c r="J113" s="385"/>
    </row>
    <row r="114" spans="1:10" ht="31.5" x14ac:dyDescent="0.25">
      <c r="A114" s="246" t="s">
        <v>1</v>
      </c>
      <c r="B114" s="246" t="s">
        <v>2</v>
      </c>
      <c r="C114" s="386" t="s">
        <v>346</v>
      </c>
      <c r="D114" s="396"/>
      <c r="E114" s="246" t="s">
        <v>15</v>
      </c>
      <c r="F114" s="246" t="s">
        <v>16</v>
      </c>
      <c r="G114" s="246" t="s">
        <v>18</v>
      </c>
      <c r="H114" s="246" t="s">
        <v>19</v>
      </c>
      <c r="I114" s="246" t="s">
        <v>19</v>
      </c>
      <c r="J114" s="246" t="s">
        <v>20</v>
      </c>
    </row>
    <row r="115" spans="1:10" ht="15.75" x14ac:dyDescent="0.25">
      <c r="A115" s="375" t="s">
        <v>62</v>
      </c>
      <c r="B115" s="376" t="s">
        <v>168</v>
      </c>
      <c r="C115" s="108" t="s">
        <v>217</v>
      </c>
      <c r="D115" s="107"/>
      <c r="E115" s="106"/>
      <c r="F115" s="204" t="str">
        <f>IF(E115="","",IF(E115&gt;81,0,IF(E115&lt;=30,1,ROUND(IF(E115&gt;55,'Reference Standards'!C$14*E115+'Reference Standards'!C$15,'Reference Standards'!D$14*E115+'Reference Standards'!D$15),2))))</f>
        <v/>
      </c>
      <c r="G115" s="415" t="str">
        <f>IFERROR(AVERAGE(F115:F116),"")</f>
        <v/>
      </c>
      <c r="H115" s="415" t="str">
        <f>IFERROR(ROUND(AVERAGE(G115),2),"")</f>
        <v/>
      </c>
      <c r="I115" s="364" t="str">
        <f>IF(H115="","",IF(H115&gt;0.69,"Functioning",IF(H115&gt;0.29,"Functioning At Risk",IF(H115&gt;-1,"Not Functioning"))))</f>
        <v/>
      </c>
      <c r="J115" s="421" t="str">
        <f>IF(AND(H115="",H117="",H119="",H132="",H136=""),"",ROUND((IF(H115="",0,H115)*0.2)+(IF(H117="",0,H117)*0.2)+(IF(H119="",0,H119)*0.2)+(IF(H132="",0,H132)*0.2)+(IF(H136="",0,H136)*0.2),2))</f>
        <v/>
      </c>
    </row>
    <row r="116" spans="1:10" ht="15.75" x14ac:dyDescent="0.25">
      <c r="A116" s="375"/>
      <c r="B116" s="377"/>
      <c r="C116" s="109" t="s">
        <v>338</v>
      </c>
      <c r="D116" s="54"/>
      <c r="E116" s="124"/>
      <c r="F116" s="205" t="str">
        <f>IF(E116="","",IF(E116&gt;=3.33,0,IF(E116=0,1,ROUND('Reference Standards'!C$47*E116+'Reference Standards'!C$48,2))))</f>
        <v/>
      </c>
      <c r="G116" s="416"/>
      <c r="H116" s="417"/>
      <c r="I116" s="365"/>
      <c r="J116" s="422"/>
    </row>
    <row r="117" spans="1:10" s="251" customFormat="1" ht="15.75" x14ac:dyDescent="0.25">
      <c r="A117" s="372" t="s">
        <v>6</v>
      </c>
      <c r="B117" s="374" t="s">
        <v>7</v>
      </c>
      <c r="C117" s="55" t="s">
        <v>8</v>
      </c>
      <c r="D117" s="166"/>
      <c r="E117" s="123"/>
      <c r="F117" s="206" t="str">
        <f>IF(E117="","",ROUND(IF(E117&gt;=1.714,0,    IF(E117&lt;=1,1,E117*'Reference Standards'!$L$13+'Reference Standards'!$L$14)),2))</f>
        <v/>
      </c>
      <c r="G117" s="411" t="str">
        <f>IFERROR(AVERAGE(F117:F118),"")</f>
        <v/>
      </c>
      <c r="H117" s="411" t="str">
        <f>IFERROR(ROUND(AVERAGE(G117),2),"")</f>
        <v/>
      </c>
      <c r="I117" s="364" t="str">
        <f>IF(H117="","",IF(H117&gt;0.69,"Functioning",IF(H117&gt;0.29,"Functioning At Risk",IF(H117&gt;-1,"Not Functioning"))))</f>
        <v/>
      </c>
      <c r="J117" s="422"/>
    </row>
    <row r="118" spans="1:10" ht="15.75" x14ac:dyDescent="0.25">
      <c r="A118" s="373"/>
      <c r="B118" s="373"/>
      <c r="C118" s="164" t="s">
        <v>9</v>
      </c>
      <c r="D118" s="165"/>
      <c r="E118" s="124"/>
      <c r="F118" s="207" t="str">
        <f>IF(E118="","",IF(OR('Quantification Tool'!$B$9="A",'Quantification Tool'!$B$9="B", 'Quantification Tool'!$B$9="Bc"),IF(E118&lt;=1.05,0,IF(E118&gt;=2.2,1,ROUND(IF(E118&lt;1.4,E118*'Reference Standards'!$L$83+'Reference Standards'!$L$84,E118*'Reference Standards'!$M$83+'Reference Standards'!$M$84),2))),IF(OR('Quantification Tool'!$B$9="C",'Quantification Tool'!$B$9="E"),IF(E118&lt;1.7,0,IF(E118&gt;=5,1,ROUND(IF(E118&lt;2.4,E118*'Reference Standards'!$M$48+'Reference Standards'!$M$49,E118*'Reference Standards'!$L$48+'Reference Standards'!$L$49),2))))))</f>
        <v/>
      </c>
      <c r="G118" s="412"/>
      <c r="H118" s="412"/>
      <c r="I118" s="365"/>
      <c r="J118" s="422"/>
    </row>
    <row r="119" spans="1:10" ht="15.75" customHeight="1" x14ac:dyDescent="0.25">
      <c r="A119" s="366" t="s">
        <v>27</v>
      </c>
      <c r="B119" s="268" t="s">
        <v>28</v>
      </c>
      <c r="C119" s="266" t="s">
        <v>24</v>
      </c>
      <c r="D119" s="267"/>
      <c r="E119" s="47"/>
      <c r="F119" s="77" t="str">
        <f>IF(E119="","",IF(E119&gt;=2825,1,IF(E119&lt;=0,0, ROUND(IF(E119&lt;1350,E119*'Reference Standards'!$U$13+'Reference Standards'!$U$14,E119*'Reference Standards'!$V$13+'Reference Standards'!$V$14),2))))</f>
        <v/>
      </c>
      <c r="G119" s="262" t="str">
        <f>IFERROR(AVERAGE(F119:F119),"")</f>
        <v/>
      </c>
      <c r="H119" s="369" t="str">
        <f>IFERROR(ROUND(AVERAGE(G119:G131),2),"")</f>
        <v/>
      </c>
      <c r="I119" s="364" t="str">
        <f>IF(H119="","",IF(H119&gt;0.69,"Functioning",IF(H119&gt;0.29,"Functioning At Risk",IF(H119&gt;-1,"Not Functioning"))))</f>
        <v/>
      </c>
      <c r="J119" s="422"/>
    </row>
    <row r="120" spans="1:10" ht="15.75" x14ac:dyDescent="0.25">
      <c r="A120" s="367"/>
      <c r="B120" s="367" t="s">
        <v>241</v>
      </c>
      <c r="C120" s="56" t="s">
        <v>51</v>
      </c>
      <c r="D120" s="56"/>
      <c r="E120" s="305"/>
      <c r="F120" s="225" t="str">
        <f>IF(E120="","",IF(OR(E120="Ex/Ex",E120="Ex/VH",E120="Ex/H",E120="Ex/M",E120="VH/Ex",E120="VH/VH", E120="H/Ex",E120="H/VH"),0, IF(OR(E120="M/Ex"),0.1,IF(OR(E120="VH/H",E120="VH/M",E120="H/H",E120="H/M", E120="M/VH"),0.2, IF(OR(E120="Ex/VL",E120="Ex/L", E120="M/H"),0.3, IF(OR(E120="VH/L",E120="H/L"),0.4, IF(OR(E120="VH/VL",E120="H/VL",E120="M/M"),0.5, IF(OR(E120="M/L",E120="L/Ex"),0.6, IF(OR(E120="M/VL",E120="L/VH", E120="L/H",E120="L/M",E120="L/L",E120="L/VL", LEFT(E120,2)="VL"),1)))))))))</f>
        <v/>
      </c>
      <c r="G120" s="418" t="str">
        <f>IFERROR(AVERAGE(F120:F122),"")</f>
        <v/>
      </c>
      <c r="H120" s="370"/>
      <c r="I120" s="424"/>
      <c r="J120" s="422"/>
    </row>
    <row r="121" spans="1:10" ht="15.75" x14ac:dyDescent="0.25">
      <c r="A121" s="367"/>
      <c r="B121" s="367"/>
      <c r="C121" s="57" t="s">
        <v>108</v>
      </c>
      <c r="D121" s="57"/>
      <c r="E121" s="123"/>
      <c r="F121" s="77" t="str">
        <f>IF(E121="","",ROUND(IF(E121&gt;=75,0,IF(E121&lt;=5,1,IF(E121&gt;10,E121*'Reference Standards'!U$48+'Reference Standards'!U$49,E121*'Reference Standards'!V$48+'Reference Standards'!V$49 ))),2))</f>
        <v/>
      </c>
      <c r="G121" s="418"/>
      <c r="H121" s="370"/>
      <c r="I121" s="424"/>
      <c r="J121" s="422"/>
    </row>
    <row r="122" spans="1:10" ht="15.75" x14ac:dyDescent="0.25">
      <c r="A122" s="367"/>
      <c r="B122" s="368"/>
      <c r="C122" s="56" t="s">
        <v>336</v>
      </c>
      <c r="D122" s="56"/>
      <c r="E122" s="124"/>
      <c r="F122" s="208" t="str">
        <f>IF(E122="","",IF(E122&gt;=30,0,IF(E122&lt;=0,1,ROUND(E122*'Reference Standards'!$U$81+'Reference Standards'!$U$82,2))))</f>
        <v/>
      </c>
      <c r="G122" s="418"/>
      <c r="H122" s="370"/>
      <c r="I122" s="424"/>
      <c r="J122" s="422"/>
    </row>
    <row r="123" spans="1:10" ht="15.75" x14ac:dyDescent="0.25">
      <c r="A123" s="367"/>
      <c r="B123" s="366" t="s">
        <v>52</v>
      </c>
      <c r="C123" s="58" t="s">
        <v>335</v>
      </c>
      <c r="D123" s="61"/>
      <c r="E123" s="106"/>
      <c r="F123" s="77" t="str">
        <f>IF(E123="","",IF(E123&gt;=150,1,IF(E123&lt;=0,0,ROUND(E123^2*'Reference Standards'!$U$115+E123*'Reference Standards'!$U$116+'Reference Standards'!$U$117,2))))</f>
        <v/>
      </c>
      <c r="G123" s="369" t="str">
        <f>IFERROR(AVERAGE(F123:F127),"")</f>
        <v/>
      </c>
      <c r="H123" s="370"/>
      <c r="I123" s="424"/>
      <c r="J123" s="422"/>
    </row>
    <row r="124" spans="1:10" ht="15.75" x14ac:dyDescent="0.25">
      <c r="A124" s="367"/>
      <c r="B124" s="367"/>
      <c r="C124" s="59" t="s">
        <v>355</v>
      </c>
      <c r="D124" s="56"/>
      <c r="E124" s="149"/>
      <c r="F124" s="77" t="str">
        <f>IF(E124="","",IF('Quantification Tool'!$B$20="Forested",IF(E124&gt;=12,1,IF(E124&lt;=0,0,ROUND(E124*'Reference Standards'!$U$149+'Reference Standards'!$U$150,2)))))</f>
        <v/>
      </c>
      <c r="G124" s="370"/>
      <c r="H124" s="370"/>
      <c r="I124" s="424"/>
      <c r="J124" s="422"/>
    </row>
    <row r="125" spans="1:10" ht="15.75" x14ac:dyDescent="0.25">
      <c r="A125" s="367"/>
      <c r="B125" s="367"/>
      <c r="C125" s="59" t="s">
        <v>356</v>
      </c>
      <c r="D125" s="56"/>
      <c r="E125" s="123"/>
      <c r="F125" s="77" t="str">
        <f>IF(E125="","",IF('Quantification Tool'!$B$20="Forested",IF(AND(E125&gt;=95,E125&lt;=200),1,IF(E125&lt;=0,0,IF(E125&gt;=300,0.5,IF(E125&lt;100,ROUND(E125*'Reference Standards'!$U$184+'Reference Standards'!$U$185,2),ROUND(E125*'Reference Standards'!$V$184+'Reference Standards'!$V$185,2)))))))</f>
        <v/>
      </c>
      <c r="G125" s="370"/>
      <c r="H125" s="370"/>
      <c r="I125" s="424"/>
      <c r="J125" s="422"/>
    </row>
    <row r="126" spans="1:10" ht="15.75" x14ac:dyDescent="0.25">
      <c r="A126" s="367"/>
      <c r="B126" s="367"/>
      <c r="C126" s="59" t="s">
        <v>391</v>
      </c>
      <c r="D126" s="200"/>
      <c r="E126" s="123"/>
      <c r="F126" s="77" t="str">
        <f>IF(E126="","",IF('Quantification Tool'!$B$20="Forested",IF(E126&gt;=100,1,ROUND(E126*'Reference Standards'!$U$219+'Reference Standards'!$U$220,2)),IF('Quantification Tool'!$B$20="Scrub-shrub",IF(E126&gt;=470,1,ROUND(E126*'Reference Standards'!$V$219+'Reference Standards'!$V$220,2)))))</f>
        <v/>
      </c>
      <c r="G126" s="370"/>
      <c r="H126" s="370"/>
      <c r="I126" s="424"/>
      <c r="J126" s="422"/>
    </row>
    <row r="127" spans="1:10" ht="15.75" x14ac:dyDescent="0.25">
      <c r="A127" s="367"/>
      <c r="B127" s="367"/>
      <c r="C127" s="60" t="s">
        <v>354</v>
      </c>
      <c r="D127" s="62"/>
      <c r="E127" s="123"/>
      <c r="F127" s="77" t="str">
        <f>IF(E127="","",IF('Quantification Tool'!$B$20="Herbaceous",IF(E127&gt;=80,1,IF(E127&lt;=0,0,ROUND(E127*'Reference Standards'!$U$251+'Reference Standards'!$U$252,2)))))</f>
        <v/>
      </c>
      <c r="G127" s="370"/>
      <c r="H127" s="370"/>
      <c r="I127" s="424"/>
      <c r="J127" s="422"/>
    </row>
    <row r="128" spans="1:10" ht="15.75" x14ac:dyDescent="0.25">
      <c r="A128" s="367"/>
      <c r="B128" s="366" t="s">
        <v>53</v>
      </c>
      <c r="C128" s="61" t="s">
        <v>54</v>
      </c>
      <c r="D128" s="61"/>
      <c r="E128" s="150"/>
      <c r="F128" s="209" t="str">
        <f>IF(E128="","",IF(OR('Quantification Tool'!$B$9="C",'Quantification Tool'!$B$9="E"),ROUND(IF(OR(E128&lt;=1,E128&gt;=9),0,IF(AND(E128&gt;=3.5,E128&lt;=6),1,IF(E128&lt;3.5,E128*'Reference Standards'!$U$289+'Reference Standards'!$U$290,E128*'Reference Standards'!$V$289+'Reference Standards'!$V$290))),2),IF(OR('Quantification Tool'!$B$9="A",'Quantification Tool'!$B$9="B"),ROUND(IF(OR(E128&gt;=6.5,E128=0),0,IF(E128&lt;=4,1,E128^2*'Reference Standards'!$U$320+E128*'Reference Standards'!$U$321+'Reference Standards'!$U$322)),2),IF('Quantification Tool'!$B$9="Bc",ROUND(IF(E128&gt;=8,0,IF(E128&lt;=5,1,E128^2*'Reference Standards'!$U$352+E128*'Reference Standards'!$U$353+'Reference Standards'!$U$354)),2)))))</f>
        <v/>
      </c>
      <c r="G128" s="462" t="str">
        <f>IFERROR(AVERAGE(F128:F131),"")</f>
        <v/>
      </c>
      <c r="H128" s="370"/>
      <c r="I128" s="424"/>
      <c r="J128" s="422"/>
    </row>
    <row r="129" spans="1:10" ht="15.75" x14ac:dyDescent="0.25">
      <c r="A129" s="367"/>
      <c r="B129" s="367"/>
      <c r="C129" s="56" t="s">
        <v>55</v>
      </c>
      <c r="D129" s="56"/>
      <c r="E129" s="149"/>
      <c r="F129" s="77" t="str">
        <f>IF(E129="","", ROUND(  IF(E129&lt;=1.1,0, IF(E129&gt;=3,1, IF(E129&lt;2, E129^2*'Reference Standards'!$U$387+  E129*'Reference Standards'!$U$388 + 'Reference Standards'!$U$389,     E129^2*'Reference Standards'!$V$387+  E129*'Reference Standards'!$V$388 + 'Reference Standards'!$V$389))),2))</f>
        <v/>
      </c>
      <c r="G129" s="461"/>
      <c r="H129" s="370"/>
      <c r="I129" s="424"/>
      <c r="J129" s="422"/>
    </row>
    <row r="130" spans="1:10" ht="15.75" x14ac:dyDescent="0.25">
      <c r="A130" s="367"/>
      <c r="B130" s="367"/>
      <c r="C130" s="56" t="s">
        <v>337</v>
      </c>
      <c r="D130" s="56"/>
      <c r="E130" s="149"/>
      <c r="F130" s="210" t="str">
        <f>IF(E130="","", IF(OR('Quantification Tool'!$B$9="A",LEFT('Quantification Tool'!$B$9,1)="B"), ROUND(IF(OR(E130&lt;=20,E130&gt;=90),0,IF(AND(E130&gt;=50,E130&lt;=60),1,IF(E130&lt;50, E130*'Reference Standards'!$U$422+'Reference Standards'!$U$423, E130*'Reference Standards'!$V$422+'Reference Standards'!$V$423))),2),   IF(OR('Quantification Tool'!$B$9="C",'Quantification Tool'!$B$9="E"), ROUND(IF(OR(E130&lt;=20,E130&gt;=85),0, IF(AND(E130&lt;=65,E130&gt;=45), 1, IF(E130&lt;45, E130*'Reference Standards'!$U$457+'Reference Standards'!$U$458,E130*'Reference Standards'!$V$457+'Reference Standards'!$V$458 ))),2)   )  ))</f>
        <v/>
      </c>
      <c r="G130" s="461"/>
      <c r="H130" s="370"/>
      <c r="I130" s="424"/>
      <c r="J130" s="422"/>
    </row>
    <row r="131" spans="1:10" ht="15.75" x14ac:dyDescent="0.25">
      <c r="A131" s="368"/>
      <c r="B131" s="368"/>
      <c r="C131" s="62" t="s">
        <v>180</v>
      </c>
      <c r="D131" s="62"/>
      <c r="E131" s="151"/>
      <c r="F131" s="299" t="str">
        <f>IF(E131="","",IF(E131&gt;=1.6,0,IF(E131&lt;=1,1,ROUND('Reference Standards'!$U$489*E131^3+'Reference Standards'!$U$490*E131^2+'Reference Standards'!$U$491*E131+'Reference Standards'!$U$492,2))))</f>
        <v/>
      </c>
      <c r="G131" s="463"/>
      <c r="H131" s="371"/>
      <c r="I131" s="365"/>
      <c r="J131" s="422"/>
    </row>
    <row r="132" spans="1:10" ht="15.75" x14ac:dyDescent="0.25">
      <c r="A132" s="361" t="s">
        <v>59</v>
      </c>
      <c r="B132" s="231" t="s">
        <v>94</v>
      </c>
      <c r="C132" s="63" t="s">
        <v>245</v>
      </c>
      <c r="D132" s="63"/>
      <c r="E132" s="47"/>
      <c r="F132" s="79" t="str">
        <f>IF(E132="","",IF('Quantification Tool'!$B$18="Coldwater",
ROUND(IF(E132&gt;=69.3,0,
IF(E132&lt;=59,1,E132*'Reference Standards'!$AD$16+'Reference Standards'!$AD$17)),2),                                   IF('Quantification Tool'!$B$18="Cold-transitional",
ROUND(IF(E132&gt;=71.38,0,
IF(E132&lt;=66.2,1,E132*'Reference Standards'!$AE$16+'Reference Standards'!$AE$17)),2),                                  IF(LEFT('Quantification Tool'!$B$18,1)="W",
ROUND(IF(E132&gt;=82.6,0,
IF(E132&lt;=69.8,1,
E132*'Reference Standards'!$AF$16+'Reference Standards'!$AF$17)),2)))))</f>
        <v/>
      </c>
      <c r="G132" s="78" t="str">
        <f>IFERROR(AVERAGE(F132),"")</f>
        <v/>
      </c>
      <c r="H132" s="359" t="str">
        <f>IFERROR(ROUND(AVERAGE(G132:G135),2),"")</f>
        <v/>
      </c>
      <c r="I132" s="360" t="str">
        <f>IF(H132="","",IF(H132&gt;0.69,"Functioning",IF(H132&gt;0.29,"Functioning At Risk",IF(H132&gt;-1,"Not Functioning"))))</f>
        <v/>
      </c>
      <c r="J132" s="422"/>
    </row>
    <row r="133" spans="1:10" ht="15.75" x14ac:dyDescent="0.25">
      <c r="A133" s="362"/>
      <c r="B133" s="64" t="s">
        <v>109</v>
      </c>
      <c r="C133" s="94" t="s">
        <v>386</v>
      </c>
      <c r="D133" s="65"/>
      <c r="E133" s="123"/>
      <c r="F133" s="211" t="str">
        <f>IF(E133="","",ROUND(IF(E133&gt;=4500,0,IF(E133&lt;=10,1, IF(E133&lt;1000, E133^2*'Reference Standards'!$AD$49+E133*'Reference Standards'!$AD$50+'Reference Standards'!$AD$51,E133^2*'Reference Standards'!$AE$49+E133*'Reference Standards'!$AE$50+'Reference Standards'!$AE$51))),2))</f>
        <v/>
      </c>
      <c r="G133" s="78" t="str">
        <f>IFERROR(AVERAGE(F133),"")</f>
        <v/>
      </c>
      <c r="H133" s="359"/>
      <c r="I133" s="360"/>
      <c r="J133" s="422"/>
    </row>
    <row r="134" spans="1:10" ht="15.75" x14ac:dyDescent="0.25">
      <c r="A134" s="362"/>
      <c r="B134" s="168" t="s">
        <v>246</v>
      </c>
      <c r="C134" s="168" t="s">
        <v>277</v>
      </c>
      <c r="D134" s="137"/>
      <c r="E134" s="169"/>
      <c r="F134" s="212" t="str">
        <f>IF(E134="","",  IF(OR('Quantification Tool'!$B$14="Northern Lakes and Forests",'Quantification Tool'!$B$14="North Central Hardwood Forests"), ROUND(IF(E134&gt;=151,0, IF(E134&lt;=3.9,1, IF(E134&lt;=12, E134*'Reference Standards'!$AD$86+'Reference Standards'!$AD$87,IF(E134&lt;50,E134*'Reference Standards'!$AE$86+'Reference Standards'!$AE$87, E134*'Reference Standards'!$AF$86+'Reference Standards'!$AF$87)))),2),
IF(OR('Quantification Tool'!$B$14="Southern Michigan/Northern Indiana Drift Plains"), ROUND(IF(E134&gt;=186,0, IF(E134&lt;=12.5,1, IF(E134&lt;=30, E134*'Reference Standards'!$AG$86+'Reference Standards'!$AG$87,IF(E134&lt;90,E134*'Reference Standards'!$AH$86+'Reference Standards'!$AH$87,E134*'Reference Standards'!$AI$86+'Reference Standards'!$AI$87)))),2),
IF(OR('Quantification Tool'!$B$14="Huron Erie Lake Plains",'Quantification Tool'!$B$14="Eastern Corn Belt Plains"), ROUND(IF(E134&gt;=550,0, IF(E134&lt;=29,1, IF(E134&lt;=70, E134*'Reference Standards'!$AD$118+'Reference Standards'!$AD$119,IF(E134&lt;160,  E134*'Reference Standards'!$AE$118+'Reference Standards'!$AE$119,   E134*'Reference Standards'!$AF$118+'Reference Standards'!$AF$119)))),2)))    ))</f>
        <v/>
      </c>
      <c r="G134" s="79" t="str">
        <f>IFERROR(AVERAGE(F134),"")</f>
        <v/>
      </c>
      <c r="H134" s="359"/>
      <c r="I134" s="360"/>
      <c r="J134" s="422"/>
    </row>
    <row r="135" spans="1:10" ht="15.75" x14ac:dyDescent="0.25">
      <c r="A135" s="363"/>
      <c r="B135" s="232" t="s">
        <v>247</v>
      </c>
      <c r="C135" s="240" t="s">
        <v>387</v>
      </c>
      <c r="D135" s="244"/>
      <c r="E135" s="106"/>
      <c r="F135" s="212" t="str">
        <f>IF(E135="","",          IF(LEFT('Quantification Tool'!$B$18,1)="C",
ROUND(IF(E135&lt;=5.25,0,
IF(E135&gt;=7.75,1,E135*'Reference Standards'!$AD$152+'Reference Standards'!$AD$153)),2), IF(LEFT('Quantification Tool'!$B$18,1)="W",
ROUND(IF(E135&lt;=3.25,0,
IF(E135&gt;=5.75,1,
E135*'Reference Standards'!$AE$152+'Reference Standards'!$AE$153)),2))))</f>
        <v/>
      </c>
      <c r="G135" s="80" t="str">
        <f>IFERROR(AVERAGE(F135),"")</f>
        <v/>
      </c>
      <c r="H135" s="359"/>
      <c r="I135" s="360"/>
      <c r="J135" s="422"/>
    </row>
    <row r="136" spans="1:10" ht="15.75" x14ac:dyDescent="0.25">
      <c r="A136" s="380" t="s">
        <v>60</v>
      </c>
      <c r="B136" s="378" t="s">
        <v>249</v>
      </c>
      <c r="C136" s="99" t="s">
        <v>388</v>
      </c>
      <c r="D136" s="100"/>
      <c r="E136" s="150"/>
      <c r="F136" s="213" t="str">
        <f>IF(E136="","",IF('Quantification Tool'!$B$19="Wadeable",IF(E136&lt;=-9,0,IF(E136&gt;=9,1,ROUND(E136*'Reference Standards'!AM$13+'Reference Standards'!AM$14,2))) ))</f>
        <v/>
      </c>
      <c r="G136" s="408" t="str">
        <f>IFERROR(AVERAGE(F136:F137),"")</f>
        <v/>
      </c>
      <c r="H136" s="414" t="str">
        <f>IFERROR(ROUND(AVERAGE(G136:G138),2),"")</f>
        <v/>
      </c>
      <c r="I136" s="360" t="str">
        <f>IF(H136="","",IF(H136&gt;0.69,"Functioning",IF(H136&gt;0.29,"Functioning At Risk",IF(H136&gt;-1,"Not Functioning"))))</f>
        <v/>
      </c>
      <c r="J136" s="422"/>
    </row>
    <row r="137" spans="1:10" ht="15.75" x14ac:dyDescent="0.25">
      <c r="A137" s="381"/>
      <c r="B137" s="379"/>
      <c r="C137" s="101" t="s">
        <v>389</v>
      </c>
      <c r="D137" s="66"/>
      <c r="E137" s="151"/>
      <c r="F137" s="81" t="str">
        <f>IF(E137="","", IF('Quantification Tool'!$B$19="Non-wadeable",IF(E137&lt;=0,0, IF(E137&gt;=100,1, ROUND( E137*'Reference Standards'!AM$46+'Reference Standards'!AM$47,2)))))</f>
        <v/>
      </c>
      <c r="G137" s="409"/>
      <c r="H137" s="414"/>
      <c r="I137" s="360"/>
      <c r="J137" s="422"/>
    </row>
    <row r="138" spans="1:10" ht="15.75" x14ac:dyDescent="0.25">
      <c r="A138" s="382"/>
      <c r="B138" s="233" t="s">
        <v>84</v>
      </c>
      <c r="C138" s="66" t="s">
        <v>390</v>
      </c>
      <c r="D138" s="66"/>
      <c r="E138" s="124"/>
      <c r="F138" s="214" t="str">
        <f>IF(E138="","",IF(AND('Quantification Tool'!$B$19="Wadeable",OR('Quantification Tool'!$B$18="Warm",'Quantification Tool'!$B$18="Warm-transitional")),IF(E138&lt;=-10,0,IF(E138&gt;=10,1,ROUND(E138*'Reference Standards'!$AM$80+'Reference Standards'!$AM$81,2)))))</f>
        <v/>
      </c>
      <c r="G138" s="81" t="str">
        <f>IFERROR(AVERAGE(F138),"")</f>
        <v/>
      </c>
      <c r="H138" s="414"/>
      <c r="I138" s="360"/>
      <c r="J138" s="423"/>
    </row>
    <row r="141" spans="1:10" ht="21" x14ac:dyDescent="0.35">
      <c r="A141" s="128" t="s">
        <v>182</v>
      </c>
      <c r="B141" s="129"/>
      <c r="C141" s="130" t="s">
        <v>183</v>
      </c>
      <c r="D141" s="129"/>
      <c r="E141" s="131"/>
      <c r="F141" s="132"/>
      <c r="G141" s="383" t="s">
        <v>17</v>
      </c>
      <c r="H141" s="384"/>
      <c r="I141" s="384"/>
      <c r="J141" s="385"/>
    </row>
    <row r="142" spans="1:10" ht="31.5" x14ac:dyDescent="0.25">
      <c r="A142" s="246" t="s">
        <v>1</v>
      </c>
      <c r="B142" s="246" t="s">
        <v>2</v>
      </c>
      <c r="C142" s="386" t="s">
        <v>346</v>
      </c>
      <c r="D142" s="396"/>
      <c r="E142" s="246" t="s">
        <v>15</v>
      </c>
      <c r="F142" s="246" t="s">
        <v>16</v>
      </c>
      <c r="G142" s="246" t="s">
        <v>18</v>
      </c>
      <c r="H142" s="246" t="s">
        <v>19</v>
      </c>
      <c r="I142" s="246" t="s">
        <v>19</v>
      </c>
      <c r="J142" s="246" t="s">
        <v>20</v>
      </c>
    </row>
    <row r="143" spans="1:10" ht="15.75" x14ac:dyDescent="0.25">
      <c r="A143" s="375" t="s">
        <v>62</v>
      </c>
      <c r="B143" s="376" t="s">
        <v>168</v>
      </c>
      <c r="C143" s="108" t="s">
        <v>217</v>
      </c>
      <c r="D143" s="107"/>
      <c r="E143" s="106"/>
      <c r="F143" s="204" t="str">
        <f>IF(E143="","",IF(E143&gt;81,0,IF(E143&lt;=30,1,ROUND(IF(E143&gt;55,'Reference Standards'!C$14*E143+'Reference Standards'!C$15,'Reference Standards'!D$14*E143+'Reference Standards'!D$15),2))))</f>
        <v/>
      </c>
      <c r="G143" s="415" t="str">
        <f>IFERROR(AVERAGE(F143:F144),"")</f>
        <v/>
      </c>
      <c r="H143" s="415" t="str">
        <f>IFERROR(ROUND(AVERAGE(G143),2),"")</f>
        <v/>
      </c>
      <c r="I143" s="364" t="str">
        <f>IF(H143="","",IF(H143&gt;0.69,"Functioning",IF(H143&gt;0.29,"Functioning At Risk",IF(H143&gt;-1,"Not Functioning"))))</f>
        <v/>
      </c>
      <c r="J143" s="421" t="str">
        <f>IF(AND(H143="",H145="",H147="",H160="",H164=""),"",ROUND((IF(H143="",0,H143)*0.2)+(IF(H145="",0,H145)*0.2)+(IF(H147="",0,H147)*0.2)+(IF(H160="",0,H160)*0.2)+(IF(H164="",0,H164)*0.2),2))</f>
        <v/>
      </c>
    </row>
    <row r="144" spans="1:10" ht="14.1" customHeight="1" x14ac:dyDescent="0.25">
      <c r="A144" s="375"/>
      <c r="B144" s="377"/>
      <c r="C144" s="109" t="s">
        <v>338</v>
      </c>
      <c r="D144" s="54"/>
      <c r="E144" s="124"/>
      <c r="F144" s="205" t="str">
        <f>IF(E144="","",IF(E144&gt;=3.33,0,IF(E144=0,1,ROUND('Reference Standards'!C$47*E144+'Reference Standards'!C$48,2))))</f>
        <v/>
      </c>
      <c r="G144" s="416"/>
      <c r="H144" s="417"/>
      <c r="I144" s="365"/>
      <c r="J144" s="422"/>
    </row>
    <row r="145" spans="1:10" ht="15.75" x14ac:dyDescent="0.25">
      <c r="A145" s="372" t="s">
        <v>6</v>
      </c>
      <c r="B145" s="374" t="s">
        <v>7</v>
      </c>
      <c r="C145" s="55" t="s">
        <v>8</v>
      </c>
      <c r="D145" s="166"/>
      <c r="E145" s="123"/>
      <c r="F145" s="206" t="str">
        <f>IF(E145="","",ROUND(IF(E145&gt;=1.714,0,    IF(E145&lt;=1,1,E145*'Reference Standards'!$L$13+'Reference Standards'!$L$14)),2))</f>
        <v/>
      </c>
      <c r="G145" s="411" t="str">
        <f>IFERROR(AVERAGE(F145:F146),"")</f>
        <v/>
      </c>
      <c r="H145" s="411" t="str">
        <f>IFERROR(ROUND(AVERAGE(G145),2),"")</f>
        <v/>
      </c>
      <c r="I145" s="364" t="str">
        <f>IF(H145="","",IF(H145&gt;0.69,"Functioning",IF(H145&gt;0.29,"Functioning At Risk",IF(H145&gt;-1,"Not Functioning"))))</f>
        <v/>
      </c>
      <c r="J145" s="422"/>
    </row>
    <row r="146" spans="1:10" s="251" customFormat="1" ht="15.75" x14ac:dyDescent="0.25">
      <c r="A146" s="373"/>
      <c r="B146" s="373"/>
      <c r="C146" s="164" t="s">
        <v>9</v>
      </c>
      <c r="D146" s="165"/>
      <c r="E146" s="124"/>
      <c r="F146" s="207" t="str">
        <f>IF(E146="","",IF(OR('Quantification Tool'!$B$9="A",'Quantification Tool'!$B$9="B", 'Quantification Tool'!$B$9="Bc"),IF(E146&lt;=1.05,0,IF(E146&gt;=2.2,1,ROUND(IF(E146&lt;1.4,E146*'Reference Standards'!$L$83+'Reference Standards'!$L$84,E146*'Reference Standards'!$M$83+'Reference Standards'!$M$84),2))),IF(OR('Quantification Tool'!$B$9="C",'Quantification Tool'!$B$9="E"),IF(E146&lt;1.7,0,IF(E146&gt;=5,1,ROUND(IF(E146&lt;2.4,E146*'Reference Standards'!$M$48+'Reference Standards'!$M$49,E146*'Reference Standards'!$L$48+'Reference Standards'!$L$49),2))))))</f>
        <v/>
      </c>
      <c r="G146" s="412"/>
      <c r="H146" s="412"/>
      <c r="I146" s="365"/>
      <c r="J146" s="422"/>
    </row>
    <row r="147" spans="1:10" ht="15.75" customHeight="1" x14ac:dyDescent="0.25">
      <c r="A147" s="366" t="s">
        <v>27</v>
      </c>
      <c r="B147" s="268" t="s">
        <v>28</v>
      </c>
      <c r="C147" s="266" t="s">
        <v>24</v>
      </c>
      <c r="D147" s="267"/>
      <c r="E147" s="47"/>
      <c r="F147" s="77" t="str">
        <f>IF(E147="","",IF(E147&gt;=2825,1,IF(E147&lt;=0,0, ROUND(IF(E147&lt;1350,E147*'Reference Standards'!$U$13+'Reference Standards'!$U$14,E147*'Reference Standards'!$V$13+'Reference Standards'!$V$14),2))))</f>
        <v/>
      </c>
      <c r="G147" s="262" t="str">
        <f>IFERROR(AVERAGE(F147:F147),"")</f>
        <v/>
      </c>
      <c r="H147" s="369" t="str">
        <f>IFERROR(ROUND(AVERAGE(G147:G159),2),"")</f>
        <v/>
      </c>
      <c r="I147" s="364" t="str">
        <f>IF(H147="","",IF(H147&gt;0.69,"Functioning",IF(H147&gt;0.29,"Functioning At Risk",IF(H147&gt;-1,"Not Functioning"))))</f>
        <v/>
      </c>
      <c r="J147" s="422"/>
    </row>
    <row r="148" spans="1:10" ht="15.75" x14ac:dyDescent="0.25">
      <c r="A148" s="367"/>
      <c r="B148" s="367" t="s">
        <v>241</v>
      </c>
      <c r="C148" s="56" t="s">
        <v>51</v>
      </c>
      <c r="D148" s="56"/>
      <c r="E148" s="305"/>
      <c r="F148" s="225" t="str">
        <f>IF(E148="","",IF(OR(E148="Ex/Ex",E148="Ex/VH",E148="Ex/H",E148="Ex/M",E148="VH/Ex",E148="VH/VH", E148="H/Ex",E148="H/VH"),0, IF(OR(E148="M/Ex"),0.1,IF(OR(E148="VH/H",E148="VH/M",E148="H/H",E148="H/M", E148="M/VH"),0.2, IF(OR(E148="Ex/VL",E148="Ex/L", E148="M/H"),0.3, IF(OR(E148="VH/L",E148="H/L"),0.4, IF(OR(E148="VH/VL",E148="H/VL",E148="M/M"),0.5, IF(OR(E148="M/L",E148="L/Ex"),0.6, IF(OR(E148="M/VL",E148="L/VH", E148="L/H",E148="L/M",E148="L/L",E148="L/VL", LEFT(E148,2)="VL"),1)))))))))</f>
        <v/>
      </c>
      <c r="G148" s="418" t="str">
        <f>IFERROR(AVERAGE(F148:F150),"")</f>
        <v/>
      </c>
      <c r="H148" s="370"/>
      <c r="I148" s="424"/>
      <c r="J148" s="422"/>
    </row>
    <row r="149" spans="1:10" ht="15.75" x14ac:dyDescent="0.25">
      <c r="A149" s="367"/>
      <c r="B149" s="367"/>
      <c r="C149" s="57" t="s">
        <v>108</v>
      </c>
      <c r="D149" s="57"/>
      <c r="E149" s="123"/>
      <c r="F149" s="77" t="str">
        <f>IF(E149="","",ROUND(IF(E149&gt;=75,0,IF(E149&lt;=5,1,IF(E149&gt;10,E149*'Reference Standards'!U$48+'Reference Standards'!U$49,E149*'Reference Standards'!V$48+'Reference Standards'!V$49 ))),2))</f>
        <v/>
      </c>
      <c r="G149" s="418"/>
      <c r="H149" s="370"/>
      <c r="I149" s="424"/>
      <c r="J149" s="422"/>
    </row>
    <row r="150" spans="1:10" ht="15.75" x14ac:dyDescent="0.25">
      <c r="A150" s="367"/>
      <c r="B150" s="368"/>
      <c r="C150" s="56" t="s">
        <v>336</v>
      </c>
      <c r="D150" s="56"/>
      <c r="E150" s="124"/>
      <c r="F150" s="208" t="str">
        <f>IF(E150="","",IF(E150&gt;=30,0,IF(E150&lt;=0,1,ROUND(E150*'Reference Standards'!$U$81+'Reference Standards'!$U$82,2))))</f>
        <v/>
      </c>
      <c r="G150" s="418"/>
      <c r="H150" s="370"/>
      <c r="I150" s="424"/>
      <c r="J150" s="422"/>
    </row>
    <row r="151" spans="1:10" ht="15.75" x14ac:dyDescent="0.25">
      <c r="A151" s="367"/>
      <c r="B151" s="366" t="s">
        <v>52</v>
      </c>
      <c r="C151" s="58" t="s">
        <v>335</v>
      </c>
      <c r="D151" s="61"/>
      <c r="E151" s="106"/>
      <c r="F151" s="77" t="str">
        <f>IF(E151="","",IF(E151&gt;=150,1,IF(E151&lt;=0,0,ROUND(E151^2*'Reference Standards'!$U$115+E151*'Reference Standards'!$U$116+'Reference Standards'!$U$117,2))))</f>
        <v/>
      </c>
      <c r="G151" s="369" t="str">
        <f>IFERROR(AVERAGE(F151:F155),"")</f>
        <v/>
      </c>
      <c r="H151" s="370"/>
      <c r="I151" s="424"/>
      <c r="J151" s="422"/>
    </row>
    <row r="152" spans="1:10" ht="15.75" x14ac:dyDescent="0.25">
      <c r="A152" s="367"/>
      <c r="B152" s="367"/>
      <c r="C152" s="59" t="s">
        <v>355</v>
      </c>
      <c r="D152" s="56"/>
      <c r="E152" s="149"/>
      <c r="F152" s="77" t="str">
        <f>IF(E152="","",IF('Quantification Tool'!$B$20="Forested",IF(E152&gt;=12,1,IF(E152&lt;=0,0,ROUND(E152*'Reference Standards'!$U$149+'Reference Standards'!$U$150,2)))))</f>
        <v/>
      </c>
      <c r="G152" s="370"/>
      <c r="H152" s="370"/>
      <c r="I152" s="424"/>
      <c r="J152" s="422"/>
    </row>
    <row r="153" spans="1:10" ht="15.75" x14ac:dyDescent="0.25">
      <c r="A153" s="367"/>
      <c r="B153" s="367"/>
      <c r="C153" s="59" t="s">
        <v>356</v>
      </c>
      <c r="D153" s="56"/>
      <c r="E153" s="123"/>
      <c r="F153" s="77" t="str">
        <f>IF(E153="","",IF('Quantification Tool'!$B$20="Forested",IF(AND(E153&gt;=95,E153&lt;=200),1,IF(E153&lt;=0,0,IF(E153&gt;=300,0.5,IF(E153&lt;100,ROUND(E153*'Reference Standards'!$U$184+'Reference Standards'!$U$185,2),ROUND(E153*'Reference Standards'!$V$184+'Reference Standards'!$V$185,2)))))))</f>
        <v/>
      </c>
      <c r="G153" s="370"/>
      <c r="H153" s="370"/>
      <c r="I153" s="424"/>
      <c r="J153" s="422"/>
    </row>
    <row r="154" spans="1:10" ht="15.75" x14ac:dyDescent="0.25">
      <c r="A154" s="367"/>
      <c r="B154" s="367"/>
      <c r="C154" s="59" t="s">
        <v>391</v>
      </c>
      <c r="D154" s="200"/>
      <c r="E154" s="123"/>
      <c r="F154" s="77" t="str">
        <f>IF(E154="","",IF('Quantification Tool'!$B$20="Forested",IF(E154&gt;=100,1,ROUND(E154*'Reference Standards'!$U$219+'Reference Standards'!$U$220,2)),IF('Quantification Tool'!$B$20="Scrub-shrub",IF(E154&gt;=470,1,ROUND(E154*'Reference Standards'!$V$219+'Reference Standards'!$V$220,2)))))</f>
        <v/>
      </c>
      <c r="G154" s="370"/>
      <c r="H154" s="370"/>
      <c r="I154" s="424"/>
      <c r="J154" s="422"/>
    </row>
    <row r="155" spans="1:10" ht="15.75" x14ac:dyDescent="0.25">
      <c r="A155" s="367"/>
      <c r="B155" s="367"/>
      <c r="C155" s="60" t="s">
        <v>354</v>
      </c>
      <c r="D155" s="62"/>
      <c r="E155" s="123"/>
      <c r="F155" s="77" t="str">
        <f>IF(E155="","",IF('Quantification Tool'!$B$20="Herbaceous",IF(E155&gt;=80,1,IF(E155&lt;=0,0,ROUND(E155*'Reference Standards'!$U$251+'Reference Standards'!$U$252,2)))))</f>
        <v/>
      </c>
      <c r="G155" s="370"/>
      <c r="H155" s="370"/>
      <c r="I155" s="424"/>
      <c r="J155" s="422"/>
    </row>
    <row r="156" spans="1:10" ht="15.75" x14ac:dyDescent="0.25">
      <c r="A156" s="367"/>
      <c r="B156" s="366" t="s">
        <v>53</v>
      </c>
      <c r="C156" s="61" t="s">
        <v>54</v>
      </c>
      <c r="D156" s="61"/>
      <c r="E156" s="150"/>
      <c r="F156" s="209" t="str">
        <f>IF(E156="","",IF(OR('Quantification Tool'!$B$9="C",'Quantification Tool'!$B$9="E"),ROUND(IF(OR(E156&lt;=1,E156&gt;=9),0,IF(AND(E156&gt;=3.5,E156&lt;=6),1,IF(E156&lt;3.5,E156*'Reference Standards'!$U$289+'Reference Standards'!$U$290,E156*'Reference Standards'!$V$289+'Reference Standards'!$V$290))),2),IF(OR('Quantification Tool'!$B$9="A",'Quantification Tool'!$B$9="B"),ROUND(IF(OR(E156&gt;=6.5,E156=0),0,IF(E156&lt;=4,1,E156^2*'Reference Standards'!$U$320+E156*'Reference Standards'!$U$321+'Reference Standards'!$U$322)),2),IF('Quantification Tool'!$B$9="Bc",ROUND(IF(E156&gt;=8,0,IF(E156&lt;=5,1,E156^2*'Reference Standards'!$U$352+E156*'Reference Standards'!$U$353+'Reference Standards'!$U$354)),2)))))</f>
        <v/>
      </c>
      <c r="G156" s="462" t="str">
        <f>IFERROR(AVERAGE(F156:F159),"")</f>
        <v/>
      </c>
      <c r="H156" s="370"/>
      <c r="I156" s="424"/>
      <c r="J156" s="422"/>
    </row>
    <row r="157" spans="1:10" ht="15.75" x14ac:dyDescent="0.25">
      <c r="A157" s="367"/>
      <c r="B157" s="367"/>
      <c r="C157" s="56" t="s">
        <v>55</v>
      </c>
      <c r="D157" s="56"/>
      <c r="E157" s="149"/>
      <c r="F157" s="77" t="str">
        <f>IF(E157="","", ROUND(  IF(E157&lt;=1.1,0, IF(E157&gt;=3,1, IF(E157&lt;2, E157^2*'Reference Standards'!$U$387+  E157*'Reference Standards'!$U$388 + 'Reference Standards'!$U$389,     E157^2*'Reference Standards'!$V$387+  E157*'Reference Standards'!$V$388 + 'Reference Standards'!$V$389))),2))</f>
        <v/>
      </c>
      <c r="G157" s="461"/>
      <c r="H157" s="370"/>
      <c r="I157" s="424"/>
      <c r="J157" s="422"/>
    </row>
    <row r="158" spans="1:10" ht="15.75" x14ac:dyDescent="0.25">
      <c r="A158" s="367"/>
      <c r="B158" s="367"/>
      <c r="C158" s="56" t="s">
        <v>337</v>
      </c>
      <c r="D158" s="56"/>
      <c r="E158" s="149"/>
      <c r="F158" s="210" t="str">
        <f>IF(E158="","", IF(OR('Quantification Tool'!$B$9="A",LEFT('Quantification Tool'!$B$9,1)="B"), ROUND(IF(OR(E158&lt;=20,E158&gt;=90),0,IF(AND(E158&gt;=50,E158&lt;=60),1,IF(E158&lt;50, E158*'Reference Standards'!$U$422+'Reference Standards'!$U$423, E158*'Reference Standards'!$V$422+'Reference Standards'!$V$423))),2),   IF(OR('Quantification Tool'!$B$9="C",'Quantification Tool'!$B$9="E"), ROUND(IF(OR(E158&lt;=20,E158&gt;=85),0, IF(AND(E158&lt;=65,E158&gt;=45), 1, IF(E158&lt;45, E158*'Reference Standards'!$U$457+'Reference Standards'!$U$458,E158*'Reference Standards'!$V$457+'Reference Standards'!$V$458 ))),2)   )  ))</f>
        <v/>
      </c>
      <c r="G158" s="461"/>
      <c r="H158" s="370"/>
      <c r="I158" s="424"/>
      <c r="J158" s="422"/>
    </row>
    <row r="159" spans="1:10" ht="15.75" x14ac:dyDescent="0.25">
      <c r="A159" s="368"/>
      <c r="B159" s="368"/>
      <c r="C159" s="62" t="s">
        <v>180</v>
      </c>
      <c r="D159" s="62"/>
      <c r="E159" s="151"/>
      <c r="F159" s="299" t="str">
        <f>IF(E159="","",IF(E159&gt;=1.6,0,IF(E159&lt;=1,1,ROUND('Reference Standards'!$U$489*E159^3+'Reference Standards'!$U$490*E159^2+'Reference Standards'!$U$491*E159+'Reference Standards'!$U$492,2))))</f>
        <v/>
      </c>
      <c r="G159" s="463"/>
      <c r="H159" s="371"/>
      <c r="I159" s="365"/>
      <c r="J159" s="422"/>
    </row>
    <row r="160" spans="1:10" ht="15.75" x14ac:dyDescent="0.25">
      <c r="A160" s="361" t="s">
        <v>59</v>
      </c>
      <c r="B160" s="231" t="s">
        <v>94</v>
      </c>
      <c r="C160" s="63" t="s">
        <v>245</v>
      </c>
      <c r="D160" s="63"/>
      <c r="E160" s="47"/>
      <c r="F160" s="79" t="str">
        <f>IF(E160="","",IF('Quantification Tool'!$B$18="Coldwater",
ROUND(IF(E160&gt;=69.3,0,
IF(E160&lt;=59,1,E160*'Reference Standards'!$AD$16+'Reference Standards'!$AD$17)),2),                                   IF('Quantification Tool'!$B$18="Cold-transitional",
ROUND(IF(E160&gt;=71.38,0,
IF(E160&lt;=66.2,1,E160*'Reference Standards'!$AE$16+'Reference Standards'!$AE$17)),2),                                  IF(LEFT('Quantification Tool'!$B$18,1)="W",
ROUND(IF(E160&gt;=82.6,0,
IF(E160&lt;=69.8,1,
E160*'Reference Standards'!$AF$16+'Reference Standards'!$AF$17)),2)))))</f>
        <v/>
      </c>
      <c r="G160" s="78" t="str">
        <f>IFERROR(AVERAGE(F160),"")</f>
        <v/>
      </c>
      <c r="H160" s="359" t="str">
        <f>IFERROR(ROUND(AVERAGE(G160:G163),2),"")</f>
        <v/>
      </c>
      <c r="I160" s="360" t="str">
        <f>IF(H160="","",IF(H160&gt;0.69,"Functioning",IF(H160&gt;0.29,"Functioning At Risk",IF(H160&gt;-1,"Not Functioning"))))</f>
        <v/>
      </c>
      <c r="J160" s="422"/>
    </row>
    <row r="161" spans="1:10" ht="15.75" x14ac:dyDescent="0.25">
      <c r="A161" s="362"/>
      <c r="B161" s="64" t="s">
        <v>109</v>
      </c>
      <c r="C161" s="94" t="s">
        <v>386</v>
      </c>
      <c r="D161" s="65"/>
      <c r="E161" s="123"/>
      <c r="F161" s="211" t="str">
        <f>IF(E161="","",ROUND(IF(E161&gt;=4500,0,IF(E161&lt;=10,1, IF(E161&lt;1000, E161^2*'Reference Standards'!$AD$49+E161*'Reference Standards'!$AD$50+'Reference Standards'!$AD$51,E161^2*'Reference Standards'!$AE$49+E161*'Reference Standards'!$AE$50+'Reference Standards'!$AE$51))),2))</f>
        <v/>
      </c>
      <c r="G161" s="78" t="str">
        <f>IFERROR(AVERAGE(F161),"")</f>
        <v/>
      </c>
      <c r="H161" s="359"/>
      <c r="I161" s="360"/>
      <c r="J161" s="422"/>
    </row>
    <row r="162" spans="1:10" ht="15.75" x14ac:dyDescent="0.25">
      <c r="A162" s="362"/>
      <c r="B162" s="168" t="s">
        <v>246</v>
      </c>
      <c r="C162" s="168" t="s">
        <v>277</v>
      </c>
      <c r="D162" s="137"/>
      <c r="E162" s="169"/>
      <c r="F162" s="212" t="str">
        <f>IF(E162="","",  IF(OR('Quantification Tool'!$B$14="Northern Lakes and Forests",'Quantification Tool'!$B$14="North Central Hardwood Forests"), ROUND(IF(E162&gt;=151,0, IF(E162&lt;=3.9,1, IF(E162&lt;=12, E162*'Reference Standards'!$AD$86+'Reference Standards'!$AD$87,IF(E162&lt;50,E162*'Reference Standards'!$AE$86+'Reference Standards'!$AE$87, E162*'Reference Standards'!$AF$86+'Reference Standards'!$AF$87)))),2),
IF(OR('Quantification Tool'!$B$14="Southern Michigan/Northern Indiana Drift Plains"), ROUND(IF(E162&gt;=186,0, IF(E162&lt;=12.5,1, IF(E162&lt;=30, E162*'Reference Standards'!$AG$86+'Reference Standards'!$AG$87,IF(E162&lt;90,E162*'Reference Standards'!$AH$86+'Reference Standards'!$AH$87,E162*'Reference Standards'!$AI$86+'Reference Standards'!$AI$87)))),2),
IF(OR('Quantification Tool'!$B$14="Huron Erie Lake Plains",'Quantification Tool'!$B$14="Eastern Corn Belt Plains"), ROUND(IF(E162&gt;=550,0, IF(E162&lt;=29,1, IF(E162&lt;=70, E162*'Reference Standards'!$AD$118+'Reference Standards'!$AD$119,IF(E162&lt;160,  E162*'Reference Standards'!$AE$118+'Reference Standards'!$AE$119,   E162*'Reference Standards'!$AF$118+'Reference Standards'!$AF$119)))),2)))    ))</f>
        <v/>
      </c>
      <c r="G162" s="79" t="str">
        <f>IFERROR(AVERAGE(F162),"")</f>
        <v/>
      </c>
      <c r="H162" s="359"/>
      <c r="I162" s="360"/>
      <c r="J162" s="422"/>
    </row>
    <row r="163" spans="1:10" ht="15.75" x14ac:dyDescent="0.25">
      <c r="A163" s="363"/>
      <c r="B163" s="232" t="s">
        <v>247</v>
      </c>
      <c r="C163" s="240" t="s">
        <v>387</v>
      </c>
      <c r="D163" s="244"/>
      <c r="E163" s="106"/>
      <c r="F163" s="212" t="str">
        <f>IF(E163="","",          IF(LEFT('Quantification Tool'!$B$18,1)="C",
ROUND(IF(E163&lt;=5.25,0,
IF(E163&gt;=7.75,1,E163*'Reference Standards'!$AD$152+'Reference Standards'!$AD$153)),2), IF(LEFT('Quantification Tool'!$B$18,1)="W",
ROUND(IF(E163&lt;=3.25,0,
IF(E163&gt;=5.75,1,
E163*'Reference Standards'!$AE$152+'Reference Standards'!$AE$153)),2))))</f>
        <v/>
      </c>
      <c r="G163" s="80" t="str">
        <f>IFERROR(AVERAGE(F163),"")</f>
        <v/>
      </c>
      <c r="H163" s="359"/>
      <c r="I163" s="360"/>
      <c r="J163" s="422"/>
    </row>
    <row r="164" spans="1:10" ht="15.75" x14ac:dyDescent="0.25">
      <c r="A164" s="380" t="s">
        <v>60</v>
      </c>
      <c r="B164" s="378" t="s">
        <v>249</v>
      </c>
      <c r="C164" s="99" t="s">
        <v>388</v>
      </c>
      <c r="D164" s="100"/>
      <c r="E164" s="150"/>
      <c r="F164" s="213" t="str">
        <f>IF(E164="","",IF('Quantification Tool'!$B$19="Wadeable",IF(E164&lt;=-9,0,IF(E164&gt;=9,1,ROUND(E164*'Reference Standards'!AM$13+'Reference Standards'!AM$14,2))) ))</f>
        <v/>
      </c>
      <c r="G164" s="408" t="str">
        <f>IFERROR(AVERAGE(F164:F165),"")</f>
        <v/>
      </c>
      <c r="H164" s="414" t="str">
        <f>IFERROR(ROUND(AVERAGE(G164:G166),2),"")</f>
        <v/>
      </c>
      <c r="I164" s="360" t="str">
        <f>IF(H164="","",IF(H164&gt;0.69,"Functioning",IF(H164&gt;0.29,"Functioning At Risk",IF(H164&gt;-1,"Not Functioning"))))</f>
        <v/>
      </c>
      <c r="J164" s="422"/>
    </row>
    <row r="165" spans="1:10" ht="15.75" x14ac:dyDescent="0.25">
      <c r="A165" s="381"/>
      <c r="B165" s="379"/>
      <c r="C165" s="101" t="s">
        <v>389</v>
      </c>
      <c r="D165" s="66"/>
      <c r="E165" s="151"/>
      <c r="F165" s="81" t="str">
        <f>IF(E165="","", IF('Quantification Tool'!$B$19="Non-wadeable",IF(E165&lt;=0,0, IF(E165&gt;=100,1, ROUND( E165*'Reference Standards'!AM$46+'Reference Standards'!AM$47,2)))))</f>
        <v/>
      </c>
      <c r="G165" s="409"/>
      <c r="H165" s="414"/>
      <c r="I165" s="360"/>
      <c r="J165" s="422"/>
    </row>
    <row r="166" spans="1:10" ht="15.75" x14ac:dyDescent="0.25">
      <c r="A166" s="382"/>
      <c r="B166" s="233" t="s">
        <v>84</v>
      </c>
      <c r="C166" s="66" t="s">
        <v>390</v>
      </c>
      <c r="D166" s="66"/>
      <c r="E166" s="124"/>
      <c r="F166" s="214" t="str">
        <f>IF(E166="","",IF(AND('Quantification Tool'!$B$19="Wadeable",OR('Quantification Tool'!$B$18="Warm",'Quantification Tool'!$B$18="Warm-transitional")),IF(E166&lt;=-10,0,IF(E166&gt;=10,1,ROUND(E166*'Reference Standards'!$AM$80+'Reference Standards'!$AM$81,2)))))</f>
        <v/>
      </c>
      <c r="G166" s="81" t="str">
        <f>IFERROR(AVERAGE(F166),"")</f>
        <v/>
      </c>
      <c r="H166" s="414"/>
      <c r="I166" s="360"/>
      <c r="J166" s="423"/>
    </row>
    <row r="169" spans="1:10" ht="21" x14ac:dyDescent="0.35">
      <c r="A169" s="128" t="s">
        <v>182</v>
      </c>
      <c r="B169" s="129"/>
      <c r="C169" s="130" t="s">
        <v>183</v>
      </c>
      <c r="D169" s="129"/>
      <c r="E169" s="131"/>
      <c r="F169" s="132"/>
      <c r="G169" s="383" t="s">
        <v>17</v>
      </c>
      <c r="H169" s="384"/>
      <c r="I169" s="384"/>
      <c r="J169" s="385"/>
    </row>
    <row r="170" spans="1:10" ht="31.5" x14ac:dyDescent="0.25">
      <c r="A170" s="246" t="s">
        <v>1</v>
      </c>
      <c r="B170" s="246" t="s">
        <v>2</v>
      </c>
      <c r="C170" s="386" t="s">
        <v>346</v>
      </c>
      <c r="D170" s="396"/>
      <c r="E170" s="246" t="s">
        <v>15</v>
      </c>
      <c r="F170" s="246" t="s">
        <v>16</v>
      </c>
      <c r="G170" s="246" t="s">
        <v>18</v>
      </c>
      <c r="H170" s="246" t="s">
        <v>19</v>
      </c>
      <c r="I170" s="246" t="s">
        <v>19</v>
      </c>
      <c r="J170" s="246" t="s">
        <v>20</v>
      </c>
    </row>
    <row r="171" spans="1:10" ht="15.75" x14ac:dyDescent="0.25">
      <c r="A171" s="375" t="s">
        <v>62</v>
      </c>
      <c r="B171" s="376" t="s">
        <v>168</v>
      </c>
      <c r="C171" s="108" t="s">
        <v>217</v>
      </c>
      <c r="D171" s="107"/>
      <c r="E171" s="106"/>
      <c r="F171" s="204" t="str">
        <f>IF(E171="","",IF(E171&gt;81,0,IF(E171&lt;=30,1,ROUND(IF(E171&gt;55,'Reference Standards'!C$14*E171+'Reference Standards'!C$15,'Reference Standards'!D$14*E171+'Reference Standards'!D$15),2))))</f>
        <v/>
      </c>
      <c r="G171" s="415" t="str">
        <f>IFERROR(AVERAGE(F171:F172),"")</f>
        <v/>
      </c>
      <c r="H171" s="415" t="str">
        <f>IFERROR(ROUND(AVERAGE(G171),2),"")</f>
        <v/>
      </c>
      <c r="I171" s="364" t="str">
        <f>IF(H171="","",IF(H171&gt;0.69,"Functioning",IF(H171&gt;0.29,"Functioning At Risk",IF(H171&gt;-1,"Not Functioning"))))</f>
        <v/>
      </c>
      <c r="J171" s="421" t="str">
        <f>IF(AND(H171="",H173="",H175="",H188="",H192=""),"",ROUND((IF(H171="",0,H171)*0.2)+(IF(H173="",0,H173)*0.2)+(IF(H175="",0,H175)*0.2)+(IF(H188="",0,H188)*0.2)+(IF(H192="",0,H192)*0.2),2))</f>
        <v/>
      </c>
    </row>
    <row r="172" spans="1:10" ht="15.75" x14ac:dyDescent="0.25">
      <c r="A172" s="375"/>
      <c r="B172" s="377"/>
      <c r="C172" s="109" t="s">
        <v>338</v>
      </c>
      <c r="D172" s="54"/>
      <c r="E172" s="124"/>
      <c r="F172" s="205" t="str">
        <f>IF(E172="","",IF(E172&gt;=3.33,0,IF(E172=0,1,ROUND('Reference Standards'!C$47*E172+'Reference Standards'!C$48,2))))</f>
        <v/>
      </c>
      <c r="G172" s="416"/>
      <c r="H172" s="417"/>
      <c r="I172" s="365"/>
      <c r="J172" s="422"/>
    </row>
    <row r="173" spans="1:10" ht="15.75" x14ac:dyDescent="0.25">
      <c r="A173" s="372" t="s">
        <v>6</v>
      </c>
      <c r="B173" s="374" t="s">
        <v>7</v>
      </c>
      <c r="C173" s="55" t="s">
        <v>8</v>
      </c>
      <c r="D173" s="166"/>
      <c r="E173" s="123"/>
      <c r="F173" s="206" t="str">
        <f>IF(E173="","",ROUND(IF(E173&gt;=1.714,0,    IF(E173&lt;=1,1,E173*'Reference Standards'!$L$13+'Reference Standards'!$L$14)),2))</f>
        <v/>
      </c>
      <c r="G173" s="411" t="str">
        <f>IFERROR(AVERAGE(F173:F174),"")</f>
        <v/>
      </c>
      <c r="H173" s="411" t="str">
        <f>IFERROR(ROUND(AVERAGE(G173),2),"")</f>
        <v/>
      </c>
      <c r="I173" s="364" t="str">
        <f>IF(H173="","",IF(H173&gt;0.69,"Functioning",IF(H173&gt;0.29,"Functioning At Risk",IF(H173&gt;-1,"Not Functioning"))))</f>
        <v/>
      </c>
      <c r="J173" s="422"/>
    </row>
    <row r="174" spans="1:10" ht="15.75" x14ac:dyDescent="0.25">
      <c r="A174" s="373"/>
      <c r="B174" s="373"/>
      <c r="C174" s="164" t="s">
        <v>9</v>
      </c>
      <c r="D174" s="165"/>
      <c r="E174" s="124"/>
      <c r="F174" s="207" t="str">
        <f>IF(E174="","",IF(OR('Quantification Tool'!$B$9="A",'Quantification Tool'!$B$9="B", 'Quantification Tool'!$B$9="Bc"),IF(E174&lt;=1.05,0,IF(E174&gt;=2.2,1,ROUND(IF(E174&lt;1.4,E174*'Reference Standards'!$L$83+'Reference Standards'!$L$84,E174*'Reference Standards'!$M$83+'Reference Standards'!$M$84),2))),IF(OR('Quantification Tool'!$B$9="C",'Quantification Tool'!$B$9="E"),IF(E174&lt;1.7,0,IF(E174&gt;=5,1,ROUND(IF(E174&lt;2.4,E174*'Reference Standards'!$M$48+'Reference Standards'!$M$49,E174*'Reference Standards'!$L$48+'Reference Standards'!$L$49),2))))))</f>
        <v/>
      </c>
      <c r="G174" s="412"/>
      <c r="H174" s="412"/>
      <c r="I174" s="365"/>
      <c r="J174" s="422"/>
    </row>
    <row r="175" spans="1:10" s="251" customFormat="1" ht="15.75" customHeight="1" x14ac:dyDescent="0.25">
      <c r="A175" s="366" t="s">
        <v>27</v>
      </c>
      <c r="B175" s="265" t="s">
        <v>28</v>
      </c>
      <c r="C175" s="266" t="s">
        <v>24</v>
      </c>
      <c r="D175" s="267"/>
      <c r="E175" s="47"/>
      <c r="F175" s="77" t="str">
        <f>IF(E175="","",IF(E175&gt;=2825,1,IF(E175&lt;=0,0, ROUND(IF(E175&lt;1350,E175*'Reference Standards'!$U$13+'Reference Standards'!$U$14,E175*'Reference Standards'!$V$13+'Reference Standards'!$V$14),2))))</f>
        <v/>
      </c>
      <c r="G175" s="262" t="str">
        <f>IFERROR(AVERAGE(F175:F175),"")</f>
        <v/>
      </c>
      <c r="H175" s="369" t="str">
        <f>IFERROR(ROUND(AVERAGE(G175:G187),2),"")</f>
        <v/>
      </c>
      <c r="I175" s="364" t="str">
        <f>IF(H175="","",IF(H175&gt;0.69,"Functioning",IF(H175&gt;0.29,"Functioning At Risk",IF(H175&gt;-1,"Not Functioning"))))</f>
        <v/>
      </c>
      <c r="J175" s="422"/>
    </row>
    <row r="176" spans="1:10" ht="15.75" x14ac:dyDescent="0.25">
      <c r="A176" s="367"/>
      <c r="B176" s="366" t="s">
        <v>241</v>
      </c>
      <c r="C176" s="56" t="s">
        <v>51</v>
      </c>
      <c r="D176" s="56"/>
      <c r="E176" s="305"/>
      <c r="F176" s="225" t="str">
        <f>IF(E176="","",IF(OR(E176="Ex/Ex",E176="Ex/VH",E176="Ex/H",E176="Ex/M",E176="VH/Ex",E176="VH/VH", E176="H/Ex",E176="H/VH"),0, IF(OR(E176="M/Ex"),0.1,IF(OR(E176="VH/H",E176="VH/M",E176="H/H",E176="H/M", E176="M/VH"),0.2, IF(OR(E176="Ex/VL",E176="Ex/L", E176="M/H"),0.3, IF(OR(E176="VH/L",E176="H/L"),0.4, IF(OR(E176="VH/VL",E176="H/VL",E176="M/M"),0.5, IF(OR(E176="M/L",E176="L/Ex"),0.6, IF(OR(E176="M/VL",E176="L/VH", E176="L/H",E176="L/M",E176="L/L",E176="L/VL", LEFT(E176,2)="VL"),1)))))))))</f>
        <v/>
      </c>
      <c r="G176" s="418" t="str">
        <f>IFERROR(AVERAGE(F176:F178),"")</f>
        <v/>
      </c>
      <c r="H176" s="370"/>
      <c r="I176" s="424"/>
      <c r="J176" s="422"/>
    </row>
    <row r="177" spans="1:10" ht="15.75" x14ac:dyDescent="0.25">
      <c r="A177" s="367"/>
      <c r="B177" s="367"/>
      <c r="C177" s="57" t="s">
        <v>108</v>
      </c>
      <c r="D177" s="57"/>
      <c r="E177" s="123"/>
      <c r="F177" s="77" t="str">
        <f>IF(E177="","",ROUND(IF(E177&gt;=75,0,IF(E177&lt;=5,1,IF(E177&gt;10,E177*'Reference Standards'!U$48+'Reference Standards'!U$49,E177*'Reference Standards'!V$48+'Reference Standards'!V$49 ))),2))</f>
        <v/>
      </c>
      <c r="G177" s="418"/>
      <c r="H177" s="370"/>
      <c r="I177" s="424"/>
      <c r="J177" s="422"/>
    </row>
    <row r="178" spans="1:10" ht="15.75" x14ac:dyDescent="0.25">
      <c r="A178" s="367"/>
      <c r="B178" s="368"/>
      <c r="C178" s="56" t="s">
        <v>336</v>
      </c>
      <c r="D178" s="56"/>
      <c r="E178" s="124"/>
      <c r="F178" s="208" t="str">
        <f>IF(E178="","",IF(E178&gt;=30,0,IF(E178&lt;=0,1,ROUND(E178*'Reference Standards'!$U$81+'Reference Standards'!$U$82,2))))</f>
        <v/>
      </c>
      <c r="G178" s="418"/>
      <c r="H178" s="370"/>
      <c r="I178" s="424"/>
      <c r="J178" s="422"/>
    </row>
    <row r="179" spans="1:10" ht="15.75" x14ac:dyDescent="0.25">
      <c r="A179" s="367"/>
      <c r="B179" s="366" t="s">
        <v>52</v>
      </c>
      <c r="C179" s="58" t="s">
        <v>335</v>
      </c>
      <c r="D179" s="61"/>
      <c r="E179" s="106"/>
      <c r="F179" s="77" t="str">
        <f>IF(E179="","",IF(E179&gt;=150,1,IF(E179&lt;=0,0,ROUND(E179^2*'Reference Standards'!$U$115+E179*'Reference Standards'!$U$116+'Reference Standards'!$U$117,2))))</f>
        <v/>
      </c>
      <c r="G179" s="369" t="str">
        <f>IFERROR(AVERAGE(F179:F183),"")</f>
        <v/>
      </c>
      <c r="H179" s="370"/>
      <c r="I179" s="424"/>
      <c r="J179" s="422"/>
    </row>
    <row r="180" spans="1:10" ht="15.75" x14ac:dyDescent="0.25">
      <c r="A180" s="367"/>
      <c r="B180" s="367"/>
      <c r="C180" s="59" t="s">
        <v>355</v>
      </c>
      <c r="D180" s="56"/>
      <c r="E180" s="149"/>
      <c r="F180" s="77" t="str">
        <f>IF(E180="","",IF('Quantification Tool'!$B$20="Forested",IF(E180&gt;=12,1,IF(E180&lt;=0,0,ROUND(E180*'Reference Standards'!$U$149+'Reference Standards'!$U$150,2)))))</f>
        <v/>
      </c>
      <c r="G180" s="370"/>
      <c r="H180" s="370"/>
      <c r="I180" s="424"/>
      <c r="J180" s="422"/>
    </row>
    <row r="181" spans="1:10" ht="15.75" x14ac:dyDescent="0.25">
      <c r="A181" s="367"/>
      <c r="B181" s="367"/>
      <c r="C181" s="59" t="s">
        <v>356</v>
      </c>
      <c r="D181" s="56"/>
      <c r="E181" s="123"/>
      <c r="F181" s="77" t="str">
        <f>IF(E181="","",IF('Quantification Tool'!$B$20="Forested",IF(AND(E181&gt;=95,E181&lt;=200),1,IF(E181&lt;=0,0,IF(E181&gt;=300,0.5,IF(E181&lt;100,ROUND(E181*'Reference Standards'!$U$184+'Reference Standards'!$U$185,2),ROUND(E181*'Reference Standards'!$V$184+'Reference Standards'!$V$185,2)))))))</f>
        <v/>
      </c>
      <c r="G181" s="370"/>
      <c r="H181" s="370"/>
      <c r="I181" s="424"/>
      <c r="J181" s="422"/>
    </row>
    <row r="182" spans="1:10" ht="15.75" x14ac:dyDescent="0.25">
      <c r="A182" s="367"/>
      <c r="B182" s="367"/>
      <c r="C182" s="59" t="s">
        <v>391</v>
      </c>
      <c r="D182" s="200"/>
      <c r="E182" s="123"/>
      <c r="F182" s="77" t="str">
        <f>IF(E182="","",IF('Quantification Tool'!$B$20="Forested",IF(E182&gt;=100,1,ROUND(E182*'Reference Standards'!$U$219+'Reference Standards'!$U$220,2)),IF('Quantification Tool'!$B$20="Scrub-shrub",IF(E182&gt;=470,1,ROUND(E182*'Reference Standards'!$V$219+'Reference Standards'!$V$220,2)))))</f>
        <v/>
      </c>
      <c r="G182" s="370"/>
      <c r="H182" s="370"/>
      <c r="I182" s="424"/>
      <c r="J182" s="422"/>
    </row>
    <row r="183" spans="1:10" ht="15.75" x14ac:dyDescent="0.25">
      <c r="A183" s="367"/>
      <c r="B183" s="367"/>
      <c r="C183" s="60" t="s">
        <v>354</v>
      </c>
      <c r="D183" s="62"/>
      <c r="E183" s="123"/>
      <c r="F183" s="77" t="str">
        <f>IF(E183="","",IF('Quantification Tool'!$B$20="Herbaceous",IF(E183&gt;=80,1,IF(E183&lt;=0,0,ROUND(E183*'Reference Standards'!$U$251+'Reference Standards'!$U$252,2)))))</f>
        <v/>
      </c>
      <c r="G183" s="370"/>
      <c r="H183" s="370"/>
      <c r="I183" s="424"/>
      <c r="J183" s="422"/>
    </row>
    <row r="184" spans="1:10" ht="15.75" x14ac:dyDescent="0.25">
      <c r="A184" s="367"/>
      <c r="B184" s="366" t="s">
        <v>53</v>
      </c>
      <c r="C184" s="61" t="s">
        <v>54</v>
      </c>
      <c r="D184" s="61"/>
      <c r="E184" s="150"/>
      <c r="F184" s="209" t="str">
        <f>IF(E184="","",IF(OR('Quantification Tool'!$B$9="C",'Quantification Tool'!$B$9="E"),ROUND(IF(OR(E184&lt;=1,E184&gt;=9),0,IF(AND(E184&gt;=3.5,E184&lt;=6),1,IF(E184&lt;3.5,E184*'Reference Standards'!$U$289+'Reference Standards'!$U$290,E184*'Reference Standards'!$V$289+'Reference Standards'!$V$290))),2),IF(OR('Quantification Tool'!$B$9="A",'Quantification Tool'!$B$9="B"),ROUND(IF(OR(E184&gt;=6.5,E184=0),0,IF(E184&lt;=4,1,E184^2*'Reference Standards'!$U$320+E184*'Reference Standards'!$U$321+'Reference Standards'!$U$322)),2),IF('Quantification Tool'!$B$9="Bc",ROUND(IF(E184&gt;=8,0,IF(E184&lt;=5,1,E184^2*'Reference Standards'!$U$352+E184*'Reference Standards'!$U$353+'Reference Standards'!$U$354)),2)))))</f>
        <v/>
      </c>
      <c r="G184" s="462" t="str">
        <f>IFERROR(AVERAGE(F184:F187),"")</f>
        <v/>
      </c>
      <c r="H184" s="370"/>
      <c r="I184" s="424"/>
      <c r="J184" s="422"/>
    </row>
    <row r="185" spans="1:10" ht="15.75" x14ac:dyDescent="0.25">
      <c r="A185" s="367"/>
      <c r="B185" s="367"/>
      <c r="C185" s="56" t="s">
        <v>55</v>
      </c>
      <c r="D185" s="56"/>
      <c r="E185" s="149"/>
      <c r="F185" s="77" t="str">
        <f>IF(E185="","", ROUND(  IF(E185&lt;=1.1,0, IF(E185&gt;=3,1, IF(E185&lt;2, E185^2*'Reference Standards'!$U$387+  E185*'Reference Standards'!$U$388 + 'Reference Standards'!$U$389,     E185^2*'Reference Standards'!$V$387+  E185*'Reference Standards'!$V$388 + 'Reference Standards'!$V$389))),2))</f>
        <v/>
      </c>
      <c r="G185" s="461"/>
      <c r="H185" s="370"/>
      <c r="I185" s="424"/>
      <c r="J185" s="422"/>
    </row>
    <row r="186" spans="1:10" ht="15.75" x14ac:dyDescent="0.25">
      <c r="A186" s="367"/>
      <c r="B186" s="367"/>
      <c r="C186" s="56" t="s">
        <v>337</v>
      </c>
      <c r="D186" s="56"/>
      <c r="E186" s="149"/>
      <c r="F186" s="210" t="str">
        <f>IF(E186="","", IF(OR('Quantification Tool'!$B$9="A",LEFT('Quantification Tool'!$B$9,1)="B"), ROUND(IF(OR(E186&lt;=20,E186&gt;=90),0,IF(AND(E186&gt;=50,E186&lt;=60),1,IF(E186&lt;50, E186*'Reference Standards'!$U$422+'Reference Standards'!$U$423, E186*'Reference Standards'!$V$422+'Reference Standards'!$V$423))),2),   IF(OR('Quantification Tool'!$B$9="C",'Quantification Tool'!$B$9="E"), ROUND(IF(OR(E186&lt;=20,E186&gt;=85),0, IF(AND(E186&lt;=65,E186&gt;=45), 1, IF(E186&lt;45, E186*'Reference Standards'!$U$457+'Reference Standards'!$U$458,E186*'Reference Standards'!$V$457+'Reference Standards'!$V$458 ))),2)   )  ))</f>
        <v/>
      </c>
      <c r="G186" s="461"/>
      <c r="H186" s="370"/>
      <c r="I186" s="424"/>
      <c r="J186" s="422"/>
    </row>
    <row r="187" spans="1:10" ht="15.75" x14ac:dyDescent="0.25">
      <c r="A187" s="368"/>
      <c r="B187" s="368"/>
      <c r="C187" s="62" t="s">
        <v>180</v>
      </c>
      <c r="D187" s="62"/>
      <c r="E187" s="151"/>
      <c r="F187" s="299" t="str">
        <f>IF(E187="","",IF(E187&gt;=1.6,0,IF(E187&lt;=1,1,ROUND('Reference Standards'!$U$489*E187^3+'Reference Standards'!$U$490*E187^2+'Reference Standards'!$U$491*E187+'Reference Standards'!$U$492,2))))</f>
        <v/>
      </c>
      <c r="G187" s="463"/>
      <c r="H187" s="371"/>
      <c r="I187" s="365"/>
      <c r="J187" s="422"/>
    </row>
    <row r="188" spans="1:10" ht="15.75" x14ac:dyDescent="0.25">
      <c r="A188" s="361" t="s">
        <v>59</v>
      </c>
      <c r="B188" s="231" t="s">
        <v>94</v>
      </c>
      <c r="C188" s="63" t="s">
        <v>245</v>
      </c>
      <c r="D188" s="63"/>
      <c r="E188" s="47"/>
      <c r="F188" s="79" t="str">
        <f>IF(E188="","",IF('Quantification Tool'!$B$18="Coldwater",
ROUND(IF(E188&gt;=69.3,0,
IF(E188&lt;=59,1,E188*'Reference Standards'!$AD$16+'Reference Standards'!$AD$17)),2),                                   IF('Quantification Tool'!$B$18="Cold-transitional",
ROUND(IF(E188&gt;=71.38,0,
IF(E188&lt;=66.2,1,E188*'Reference Standards'!$AE$16+'Reference Standards'!$AE$17)),2),                                  IF(LEFT('Quantification Tool'!$B$18,1)="W",
ROUND(IF(E188&gt;=82.6,0,
IF(E188&lt;=69.8,1,
E188*'Reference Standards'!$AF$16+'Reference Standards'!$AF$17)),2)))))</f>
        <v/>
      </c>
      <c r="G188" s="78" t="str">
        <f>IFERROR(AVERAGE(F188),"")</f>
        <v/>
      </c>
      <c r="H188" s="359" t="str">
        <f>IFERROR(ROUND(AVERAGE(G188:G191),2),"")</f>
        <v/>
      </c>
      <c r="I188" s="360" t="str">
        <f>IF(H188="","",IF(H188&gt;0.69,"Functioning",IF(H188&gt;0.29,"Functioning At Risk",IF(H188&gt;-1,"Not Functioning"))))</f>
        <v/>
      </c>
      <c r="J188" s="422"/>
    </row>
    <row r="189" spans="1:10" ht="15.75" x14ac:dyDescent="0.25">
      <c r="A189" s="362"/>
      <c r="B189" s="64" t="s">
        <v>109</v>
      </c>
      <c r="C189" s="94" t="s">
        <v>386</v>
      </c>
      <c r="D189" s="65"/>
      <c r="E189" s="123"/>
      <c r="F189" s="211" t="str">
        <f>IF(E189="","",ROUND(IF(E189&gt;=4500,0,IF(E189&lt;=10,1, IF(E189&lt;1000, E189^2*'Reference Standards'!$AD$49+E189*'Reference Standards'!$AD$50+'Reference Standards'!$AD$51,E189^2*'Reference Standards'!$AE$49+E189*'Reference Standards'!$AE$50+'Reference Standards'!$AE$51))),2))</f>
        <v/>
      </c>
      <c r="G189" s="78" t="str">
        <f>IFERROR(AVERAGE(F189),"")</f>
        <v/>
      </c>
      <c r="H189" s="359"/>
      <c r="I189" s="360"/>
      <c r="J189" s="422"/>
    </row>
    <row r="190" spans="1:10" ht="15.75" x14ac:dyDescent="0.25">
      <c r="A190" s="362"/>
      <c r="B190" s="168" t="s">
        <v>246</v>
      </c>
      <c r="C190" s="168" t="s">
        <v>277</v>
      </c>
      <c r="D190" s="137"/>
      <c r="E190" s="169"/>
      <c r="F190" s="212" t="str">
        <f>IF(E190="","",  IF(OR('Quantification Tool'!$B$14="Northern Lakes and Forests",'Quantification Tool'!$B$14="North Central Hardwood Forests"), ROUND(IF(E190&gt;=151,0, IF(E190&lt;=3.9,1, IF(E190&lt;=12, E190*'Reference Standards'!$AD$86+'Reference Standards'!$AD$87,IF(E190&lt;50,E190*'Reference Standards'!$AE$86+'Reference Standards'!$AE$87, E190*'Reference Standards'!$AF$86+'Reference Standards'!$AF$87)))),2),
IF(OR('Quantification Tool'!$B$14="Southern Michigan/Northern Indiana Drift Plains"), ROUND(IF(E190&gt;=186,0, IF(E190&lt;=12.5,1, IF(E190&lt;=30, E190*'Reference Standards'!$AG$86+'Reference Standards'!$AG$87,IF(E190&lt;90,E190*'Reference Standards'!$AH$86+'Reference Standards'!$AH$87,E190*'Reference Standards'!$AI$86+'Reference Standards'!$AI$87)))),2),
IF(OR('Quantification Tool'!$B$14="Huron Erie Lake Plains",'Quantification Tool'!$B$14="Eastern Corn Belt Plains"), ROUND(IF(E190&gt;=550,0, IF(E190&lt;=29,1, IF(E190&lt;=70, E190*'Reference Standards'!$AD$118+'Reference Standards'!$AD$119,IF(E190&lt;160,  E190*'Reference Standards'!$AE$118+'Reference Standards'!$AE$119,   E190*'Reference Standards'!$AF$118+'Reference Standards'!$AF$119)))),2)))    ))</f>
        <v/>
      </c>
      <c r="G190" s="79" t="str">
        <f>IFERROR(AVERAGE(F190),"")</f>
        <v/>
      </c>
      <c r="H190" s="359"/>
      <c r="I190" s="360"/>
      <c r="J190" s="422"/>
    </row>
    <row r="191" spans="1:10" ht="15.75" x14ac:dyDescent="0.25">
      <c r="A191" s="363"/>
      <c r="B191" s="232" t="s">
        <v>247</v>
      </c>
      <c r="C191" s="240" t="s">
        <v>387</v>
      </c>
      <c r="D191" s="244"/>
      <c r="E191" s="106"/>
      <c r="F191" s="212" t="str">
        <f>IF(E191="","",          IF(LEFT('Quantification Tool'!$B$18,1)="C",
ROUND(IF(E191&lt;=5.25,0,
IF(E191&gt;=7.75,1,E191*'Reference Standards'!$AD$152+'Reference Standards'!$AD$153)),2), IF(LEFT('Quantification Tool'!$B$18,1)="W",
ROUND(IF(E191&lt;=3.25,0,
IF(E191&gt;=5.75,1,
E191*'Reference Standards'!$AE$152+'Reference Standards'!$AE$153)),2))))</f>
        <v/>
      </c>
      <c r="G191" s="80" t="str">
        <f>IFERROR(AVERAGE(F191),"")</f>
        <v/>
      </c>
      <c r="H191" s="359"/>
      <c r="I191" s="360"/>
      <c r="J191" s="422"/>
    </row>
    <row r="192" spans="1:10" ht="15.75" x14ac:dyDescent="0.25">
      <c r="A192" s="380" t="s">
        <v>60</v>
      </c>
      <c r="B192" s="378" t="s">
        <v>249</v>
      </c>
      <c r="C192" s="99" t="s">
        <v>388</v>
      </c>
      <c r="D192" s="100"/>
      <c r="E192" s="150"/>
      <c r="F192" s="213" t="str">
        <f>IF(E192="","",IF('Quantification Tool'!$B$19="Wadeable",IF(E192&lt;=-9,0,IF(E192&gt;=9,1,ROUND(E192*'Reference Standards'!AM$13+'Reference Standards'!AM$14,2))) ))</f>
        <v/>
      </c>
      <c r="G192" s="408" t="str">
        <f>IFERROR(AVERAGE(F192:F193),"")</f>
        <v/>
      </c>
      <c r="H192" s="414" t="str">
        <f>IFERROR(ROUND(AVERAGE(G192:G194),2),"")</f>
        <v/>
      </c>
      <c r="I192" s="360" t="str">
        <f>IF(H192="","",IF(H192&gt;0.69,"Functioning",IF(H192&gt;0.29,"Functioning At Risk",IF(H192&gt;-1,"Not Functioning"))))</f>
        <v/>
      </c>
      <c r="J192" s="422"/>
    </row>
    <row r="193" spans="1:10" ht="15.75" x14ac:dyDescent="0.25">
      <c r="A193" s="381"/>
      <c r="B193" s="379"/>
      <c r="C193" s="101" t="s">
        <v>389</v>
      </c>
      <c r="D193" s="66"/>
      <c r="E193" s="151"/>
      <c r="F193" s="81" t="str">
        <f>IF(E193="","", IF('Quantification Tool'!$B$19="Non-wadeable",IF(E193&lt;=0,0, IF(E193&gt;=100,1, ROUND( E193*'Reference Standards'!AM$46+'Reference Standards'!AM$47,2)))))</f>
        <v/>
      </c>
      <c r="G193" s="409"/>
      <c r="H193" s="414"/>
      <c r="I193" s="360"/>
      <c r="J193" s="422"/>
    </row>
    <row r="194" spans="1:10" ht="15.75" x14ac:dyDescent="0.25">
      <c r="A194" s="382"/>
      <c r="B194" s="233" t="s">
        <v>84</v>
      </c>
      <c r="C194" s="66" t="s">
        <v>390</v>
      </c>
      <c r="D194" s="66"/>
      <c r="E194" s="124"/>
      <c r="F194" s="214" t="str">
        <f>IF(E194="","",IF(AND('Quantification Tool'!$B$19="Wadeable",OR('Quantification Tool'!$B$18="Warm",'Quantification Tool'!$B$18="Warm-transitional")),IF(E194&lt;=-10,0,IF(E194&gt;=10,1,ROUND(E194*'Reference Standards'!$AM$80+'Reference Standards'!$AM$81,2)))))</f>
        <v/>
      </c>
      <c r="G194" s="81" t="str">
        <f>IFERROR(AVERAGE(F194),"")</f>
        <v/>
      </c>
      <c r="H194" s="414"/>
      <c r="I194" s="360"/>
      <c r="J194" s="423"/>
    </row>
    <row r="197" spans="1:10" ht="21" x14ac:dyDescent="0.35">
      <c r="A197" s="128" t="s">
        <v>182</v>
      </c>
      <c r="B197" s="129"/>
      <c r="C197" s="130" t="s">
        <v>183</v>
      </c>
      <c r="D197" s="129"/>
      <c r="E197" s="131"/>
      <c r="F197" s="132"/>
      <c r="G197" s="383" t="s">
        <v>17</v>
      </c>
      <c r="H197" s="384"/>
      <c r="I197" s="384"/>
      <c r="J197" s="385"/>
    </row>
    <row r="198" spans="1:10" ht="31.5" x14ac:dyDescent="0.25">
      <c r="A198" s="246" t="s">
        <v>1</v>
      </c>
      <c r="B198" s="246" t="s">
        <v>2</v>
      </c>
      <c r="C198" s="386" t="s">
        <v>346</v>
      </c>
      <c r="D198" s="396"/>
      <c r="E198" s="246" t="s">
        <v>15</v>
      </c>
      <c r="F198" s="246" t="s">
        <v>16</v>
      </c>
      <c r="G198" s="246" t="s">
        <v>18</v>
      </c>
      <c r="H198" s="246" t="s">
        <v>19</v>
      </c>
      <c r="I198" s="246" t="s">
        <v>19</v>
      </c>
      <c r="J198" s="246" t="s">
        <v>20</v>
      </c>
    </row>
    <row r="199" spans="1:10" ht="15.75" x14ac:dyDescent="0.25">
      <c r="A199" s="375" t="s">
        <v>62</v>
      </c>
      <c r="B199" s="376" t="s">
        <v>168</v>
      </c>
      <c r="C199" s="108" t="s">
        <v>217</v>
      </c>
      <c r="D199" s="107"/>
      <c r="E199" s="106"/>
      <c r="F199" s="204" t="str">
        <f>IF(E199="","",IF(E199&gt;81,0,IF(E199&lt;=30,1,ROUND(IF(E199&gt;55,'Reference Standards'!C$14*E199+'Reference Standards'!C$15,'Reference Standards'!D$14*E199+'Reference Standards'!D$15),2))))</f>
        <v/>
      </c>
      <c r="G199" s="415" t="str">
        <f>IFERROR(AVERAGE(F199:F200),"")</f>
        <v/>
      </c>
      <c r="H199" s="415" t="str">
        <f>IFERROR(ROUND(AVERAGE(G199),2),"")</f>
        <v/>
      </c>
      <c r="I199" s="364" t="str">
        <f>IF(H199="","",IF(H199&gt;0.69,"Functioning",IF(H199&gt;0.29,"Functioning At Risk",IF(H199&gt;-1,"Not Functioning"))))</f>
        <v/>
      </c>
      <c r="J199" s="421" t="str">
        <f>IF(AND(H199="",H201="",H203="",H216="",H220=""),"",ROUND((IF(H199="",0,H199)*0.2)+(IF(H201="",0,H201)*0.2)+(IF(H203="",0,H203)*0.2)+(IF(H216="",0,H216)*0.2)+(IF(H220="",0,H220)*0.2),2))</f>
        <v/>
      </c>
    </row>
    <row r="200" spans="1:10" ht="15.75" x14ac:dyDescent="0.25">
      <c r="A200" s="375"/>
      <c r="B200" s="377"/>
      <c r="C200" s="109" t="s">
        <v>338</v>
      </c>
      <c r="D200" s="54"/>
      <c r="E200" s="124"/>
      <c r="F200" s="205" t="str">
        <f>IF(E200="","",IF(E200&gt;=3.33,0,IF(E200=0,1,ROUND('Reference Standards'!C$47*E200+'Reference Standards'!C$48,2))))</f>
        <v/>
      </c>
      <c r="G200" s="416"/>
      <c r="H200" s="417"/>
      <c r="I200" s="365"/>
      <c r="J200" s="422"/>
    </row>
    <row r="201" spans="1:10" ht="15.75" x14ac:dyDescent="0.25">
      <c r="A201" s="372" t="s">
        <v>6</v>
      </c>
      <c r="B201" s="374" t="s">
        <v>7</v>
      </c>
      <c r="C201" s="55" t="s">
        <v>8</v>
      </c>
      <c r="D201" s="166"/>
      <c r="E201" s="123"/>
      <c r="F201" s="206" t="str">
        <f>IF(E201="","",ROUND(IF(E201&gt;=1.714,0,    IF(E201&lt;=1,1,E201*'Reference Standards'!$L$13+'Reference Standards'!$L$14)),2))</f>
        <v/>
      </c>
      <c r="G201" s="411" t="str">
        <f>IFERROR(AVERAGE(F201:F202),"")</f>
        <v/>
      </c>
      <c r="H201" s="411" t="str">
        <f>IFERROR(ROUND(AVERAGE(G201),2),"")</f>
        <v/>
      </c>
      <c r="I201" s="364" t="str">
        <f>IF(H201="","",IF(H201&gt;0.69,"Functioning",IF(H201&gt;0.29,"Functioning At Risk",IF(H201&gt;-1,"Not Functioning"))))</f>
        <v/>
      </c>
      <c r="J201" s="422"/>
    </row>
    <row r="202" spans="1:10" ht="15.75" x14ac:dyDescent="0.25">
      <c r="A202" s="373"/>
      <c r="B202" s="373"/>
      <c r="C202" s="164" t="s">
        <v>9</v>
      </c>
      <c r="D202" s="165"/>
      <c r="E202" s="124"/>
      <c r="F202" s="207" t="str">
        <f>IF(E202="","",IF(OR('Quantification Tool'!$B$9="A",'Quantification Tool'!$B$9="B", 'Quantification Tool'!$B$9="Bc"),IF(E202&lt;=1.05,0,IF(E202&gt;=2.2,1,ROUND(IF(E202&lt;1.4,E202*'Reference Standards'!$L$83+'Reference Standards'!$L$84,E202*'Reference Standards'!$M$83+'Reference Standards'!$M$84),2))),IF(OR('Quantification Tool'!$B$9="C",'Quantification Tool'!$B$9="E"),IF(E202&lt;1.7,0,IF(E202&gt;=5,1,ROUND(IF(E202&lt;2.4,E202*'Reference Standards'!$M$48+'Reference Standards'!$M$49,E202*'Reference Standards'!$L$48+'Reference Standards'!$L$49),2))))))</f>
        <v/>
      </c>
      <c r="G202" s="412"/>
      <c r="H202" s="412"/>
      <c r="I202" s="365"/>
      <c r="J202" s="422"/>
    </row>
    <row r="203" spans="1:10" ht="15.75" customHeight="1" x14ac:dyDescent="0.25">
      <c r="A203" s="366" t="s">
        <v>27</v>
      </c>
      <c r="B203" s="265" t="s">
        <v>28</v>
      </c>
      <c r="C203" s="266" t="s">
        <v>24</v>
      </c>
      <c r="D203" s="267"/>
      <c r="E203" s="47"/>
      <c r="F203" s="77" t="str">
        <f>IF(E203="","",IF(E203&gt;=2825,1,IF(E203&lt;=0,0, ROUND(IF(E203&lt;1350,E203*'Reference Standards'!$U$13+'Reference Standards'!$U$14,E203*'Reference Standards'!$V$13+'Reference Standards'!$V$14),2))))</f>
        <v/>
      </c>
      <c r="G203" s="262" t="str">
        <f>IFERROR(AVERAGE(F203:F203),"")</f>
        <v/>
      </c>
      <c r="H203" s="369" t="str">
        <f>IFERROR(ROUND(AVERAGE(G203:G215),2),"")</f>
        <v/>
      </c>
      <c r="I203" s="364" t="str">
        <f>IF(H203="","",IF(H203&gt;0.69,"Functioning",IF(H203&gt;0.29,"Functioning At Risk",IF(H203&gt;-1,"Not Functioning"))))</f>
        <v/>
      </c>
      <c r="J203" s="422"/>
    </row>
    <row r="204" spans="1:10" s="251" customFormat="1" ht="15.75" x14ac:dyDescent="0.25">
      <c r="A204" s="367"/>
      <c r="B204" s="366" t="s">
        <v>241</v>
      </c>
      <c r="C204" s="56" t="s">
        <v>51</v>
      </c>
      <c r="D204" s="56"/>
      <c r="E204" s="305"/>
      <c r="F204" s="225" t="str">
        <f>IF(E204="","",IF(OR(E204="Ex/Ex",E204="Ex/VH",E204="Ex/H",E204="Ex/M",E204="VH/Ex",E204="VH/VH", E204="H/Ex",E204="H/VH"),0, IF(OR(E204="M/Ex"),0.1,IF(OR(E204="VH/H",E204="VH/M",E204="H/H",E204="H/M", E204="M/VH"),0.2, IF(OR(E204="Ex/VL",E204="Ex/L", E204="M/H"),0.3, IF(OR(E204="VH/L",E204="H/L"),0.4, IF(OR(E204="VH/VL",E204="H/VL",E204="M/M"),0.5, IF(OR(E204="M/L",E204="L/Ex"),0.6, IF(OR(E204="M/VL",E204="L/VH", E204="L/H",E204="L/M",E204="L/L",E204="L/VL", LEFT(E204,2)="VL"),1)))))))))</f>
        <v/>
      </c>
      <c r="G204" s="418" t="str">
        <f>IFERROR(AVERAGE(F204:F206),"")</f>
        <v/>
      </c>
      <c r="H204" s="370"/>
      <c r="I204" s="424"/>
      <c r="J204" s="422"/>
    </row>
    <row r="205" spans="1:10" ht="15.75" x14ac:dyDescent="0.25">
      <c r="A205" s="367"/>
      <c r="B205" s="367"/>
      <c r="C205" s="57" t="s">
        <v>108</v>
      </c>
      <c r="D205" s="57"/>
      <c r="E205" s="123"/>
      <c r="F205" s="77" t="str">
        <f>IF(E205="","",ROUND(IF(E205&gt;=75,0,IF(E205&lt;=5,1,IF(E205&gt;10,E205*'Reference Standards'!U$48+'Reference Standards'!U$49,E205*'Reference Standards'!V$48+'Reference Standards'!V$49 ))),2))</f>
        <v/>
      </c>
      <c r="G205" s="418"/>
      <c r="H205" s="370"/>
      <c r="I205" s="424"/>
      <c r="J205" s="422"/>
    </row>
    <row r="206" spans="1:10" ht="15.75" x14ac:dyDescent="0.25">
      <c r="A206" s="367"/>
      <c r="B206" s="368"/>
      <c r="C206" s="56" t="s">
        <v>336</v>
      </c>
      <c r="D206" s="56"/>
      <c r="E206" s="124"/>
      <c r="F206" s="208" t="str">
        <f>IF(E206="","",IF(E206&gt;=30,0,IF(E206&lt;=0,1,ROUND(E206*'Reference Standards'!$U$81+'Reference Standards'!$U$82,2))))</f>
        <v/>
      </c>
      <c r="G206" s="418"/>
      <c r="H206" s="370"/>
      <c r="I206" s="424"/>
      <c r="J206" s="422"/>
    </row>
    <row r="207" spans="1:10" ht="15.75" x14ac:dyDescent="0.25">
      <c r="A207" s="367"/>
      <c r="B207" s="366" t="s">
        <v>52</v>
      </c>
      <c r="C207" s="58" t="s">
        <v>335</v>
      </c>
      <c r="D207" s="61"/>
      <c r="E207" s="106"/>
      <c r="F207" s="77" t="str">
        <f>IF(E207="","",IF(E207&gt;=150,1,IF(E207&lt;=0,0,ROUND(E207^2*'Reference Standards'!$U$115+E207*'Reference Standards'!$U$116+'Reference Standards'!$U$117,2))))</f>
        <v/>
      </c>
      <c r="G207" s="369" t="str">
        <f>IFERROR(AVERAGE(F207:F211),"")</f>
        <v/>
      </c>
      <c r="H207" s="370"/>
      <c r="I207" s="424"/>
      <c r="J207" s="422"/>
    </row>
    <row r="208" spans="1:10" ht="15.75" x14ac:dyDescent="0.25">
      <c r="A208" s="367"/>
      <c r="B208" s="367"/>
      <c r="C208" s="59" t="s">
        <v>355</v>
      </c>
      <c r="D208" s="56"/>
      <c r="E208" s="149"/>
      <c r="F208" s="77" t="str">
        <f>IF(E208="","",IF('Quantification Tool'!$B$20="Forested",IF(E208&gt;=12,1,IF(E208&lt;=0,0,ROUND(E208*'Reference Standards'!$U$149+'Reference Standards'!$U$150,2)))))</f>
        <v/>
      </c>
      <c r="G208" s="370"/>
      <c r="H208" s="370"/>
      <c r="I208" s="424"/>
      <c r="J208" s="422"/>
    </row>
    <row r="209" spans="1:10" ht="15.75" x14ac:dyDescent="0.25">
      <c r="A209" s="367"/>
      <c r="B209" s="367"/>
      <c r="C209" s="59" t="s">
        <v>356</v>
      </c>
      <c r="D209" s="56"/>
      <c r="E209" s="123"/>
      <c r="F209" s="77" t="str">
        <f>IF(E209="","",IF('Quantification Tool'!$B$20="Forested",IF(AND(E209&gt;=95,E209&lt;=200),1,IF(E209&lt;=0,0,IF(E209&gt;=300,0.5,IF(E209&lt;100,ROUND(E209*'Reference Standards'!$U$184+'Reference Standards'!$U$185,2),ROUND(E209*'Reference Standards'!$V$184+'Reference Standards'!$V$185,2)))))))</f>
        <v/>
      </c>
      <c r="G209" s="370"/>
      <c r="H209" s="370"/>
      <c r="I209" s="424"/>
      <c r="J209" s="422"/>
    </row>
    <row r="210" spans="1:10" ht="15.75" x14ac:dyDescent="0.25">
      <c r="A210" s="367"/>
      <c r="B210" s="367"/>
      <c r="C210" s="59" t="s">
        <v>391</v>
      </c>
      <c r="D210" s="200"/>
      <c r="E210" s="123"/>
      <c r="F210" s="77" t="str">
        <f>IF(E210="","",IF('Quantification Tool'!$B$20="Forested",IF(E210&gt;=100,1,ROUND(E210*'Reference Standards'!$U$219+'Reference Standards'!$U$220,2)),IF('Quantification Tool'!$B$20="Scrub-shrub",IF(E210&gt;=470,1,ROUND(E210*'Reference Standards'!$V$219+'Reference Standards'!$V$220,2)))))</f>
        <v/>
      </c>
      <c r="G210" s="370"/>
      <c r="H210" s="370"/>
      <c r="I210" s="424"/>
      <c r="J210" s="422"/>
    </row>
    <row r="211" spans="1:10" ht="15.75" x14ac:dyDescent="0.25">
      <c r="A211" s="367"/>
      <c r="B211" s="367"/>
      <c r="C211" s="60" t="s">
        <v>354</v>
      </c>
      <c r="D211" s="62"/>
      <c r="E211" s="123"/>
      <c r="F211" s="77" t="str">
        <f>IF(E211="","",IF('Quantification Tool'!$B$20="Herbaceous",IF(E211&gt;=80,1,IF(E211&lt;=0,0,ROUND(E211*'Reference Standards'!$U$251+'Reference Standards'!$U$252,2)))))</f>
        <v/>
      </c>
      <c r="G211" s="370"/>
      <c r="H211" s="370"/>
      <c r="I211" s="424"/>
      <c r="J211" s="422"/>
    </row>
    <row r="212" spans="1:10" ht="15.75" x14ac:dyDescent="0.25">
      <c r="A212" s="367"/>
      <c r="B212" s="366" t="s">
        <v>53</v>
      </c>
      <c r="C212" s="61" t="s">
        <v>54</v>
      </c>
      <c r="D212" s="61"/>
      <c r="E212" s="150"/>
      <c r="F212" s="209" t="str">
        <f>IF(E212="","",IF(OR('Quantification Tool'!$B$9="C",'Quantification Tool'!$B$9="E"),ROUND(IF(OR(E212&lt;=1,E212&gt;=9),0,IF(AND(E212&gt;=3.5,E212&lt;=6),1,IF(E212&lt;3.5,E212*'Reference Standards'!$U$289+'Reference Standards'!$U$290,E212*'Reference Standards'!$V$289+'Reference Standards'!$V$290))),2),IF(OR('Quantification Tool'!$B$9="A",'Quantification Tool'!$B$9="B"),ROUND(IF(OR(E212&gt;=6.5,E212=0),0,IF(E212&lt;=4,1,E212^2*'Reference Standards'!$U$320+E212*'Reference Standards'!$U$321+'Reference Standards'!$U$322)),2),IF('Quantification Tool'!$B$9="Bc",ROUND(IF(E212&gt;=8,0,IF(E212&lt;=5,1,E212^2*'Reference Standards'!$U$352+E212*'Reference Standards'!$U$353+'Reference Standards'!$U$354)),2)))))</f>
        <v/>
      </c>
      <c r="G212" s="462" t="str">
        <f>IFERROR(AVERAGE(F212:F215),"")</f>
        <v/>
      </c>
      <c r="H212" s="370"/>
      <c r="I212" s="424"/>
      <c r="J212" s="422"/>
    </row>
    <row r="213" spans="1:10" ht="15.75" x14ac:dyDescent="0.25">
      <c r="A213" s="367"/>
      <c r="B213" s="367"/>
      <c r="C213" s="56" t="s">
        <v>55</v>
      </c>
      <c r="D213" s="56"/>
      <c r="E213" s="149"/>
      <c r="F213" s="77" t="str">
        <f>IF(E213="","", ROUND(  IF(E213&lt;=1.1,0, IF(E213&gt;=3,1, IF(E213&lt;2, E213^2*'Reference Standards'!$U$387+  E213*'Reference Standards'!$U$388 + 'Reference Standards'!$U$389,     E213^2*'Reference Standards'!$V$387+  E213*'Reference Standards'!$V$388 + 'Reference Standards'!$V$389))),2))</f>
        <v/>
      </c>
      <c r="G213" s="461"/>
      <c r="H213" s="370"/>
      <c r="I213" s="424"/>
      <c r="J213" s="422"/>
    </row>
    <row r="214" spans="1:10" ht="15.75" x14ac:dyDescent="0.25">
      <c r="A214" s="367"/>
      <c r="B214" s="367"/>
      <c r="C214" s="56" t="s">
        <v>337</v>
      </c>
      <c r="D214" s="56"/>
      <c r="E214" s="149"/>
      <c r="F214" s="210" t="str">
        <f>IF(E214="","", IF(OR('Quantification Tool'!$B$9="A",LEFT('Quantification Tool'!$B$9,1)="B"), ROUND(IF(OR(E214&lt;=20,E214&gt;=90),0,IF(AND(E214&gt;=50,E214&lt;=60),1,IF(E214&lt;50, E214*'Reference Standards'!$U$422+'Reference Standards'!$U$423, E214*'Reference Standards'!$V$422+'Reference Standards'!$V$423))),2),   IF(OR('Quantification Tool'!$B$9="C",'Quantification Tool'!$B$9="E"), ROUND(IF(OR(E214&lt;=20,E214&gt;=85),0, IF(AND(E214&lt;=65,E214&gt;=45), 1, IF(E214&lt;45, E214*'Reference Standards'!$U$457+'Reference Standards'!$U$458,E214*'Reference Standards'!$V$457+'Reference Standards'!$V$458 ))),2)   )  ))</f>
        <v/>
      </c>
      <c r="G214" s="461"/>
      <c r="H214" s="370"/>
      <c r="I214" s="424"/>
      <c r="J214" s="422"/>
    </row>
    <row r="215" spans="1:10" ht="15.75" x14ac:dyDescent="0.25">
      <c r="A215" s="368"/>
      <c r="B215" s="368"/>
      <c r="C215" s="62" t="s">
        <v>180</v>
      </c>
      <c r="D215" s="62"/>
      <c r="E215" s="151"/>
      <c r="F215" s="299" t="str">
        <f>IF(E215="","",IF(E215&gt;=1.6,0,IF(E215&lt;=1,1,ROUND('Reference Standards'!$U$489*E215^3+'Reference Standards'!$U$490*E215^2+'Reference Standards'!$U$491*E215+'Reference Standards'!$U$492,2))))</f>
        <v/>
      </c>
      <c r="G215" s="463"/>
      <c r="H215" s="371"/>
      <c r="I215" s="365"/>
      <c r="J215" s="422"/>
    </row>
    <row r="216" spans="1:10" ht="15.75" x14ac:dyDescent="0.25">
      <c r="A216" s="361" t="s">
        <v>59</v>
      </c>
      <c r="B216" s="231" t="s">
        <v>94</v>
      </c>
      <c r="C216" s="63" t="s">
        <v>245</v>
      </c>
      <c r="D216" s="63"/>
      <c r="E216" s="47"/>
      <c r="F216" s="79" t="str">
        <f>IF(E216="","",IF('Quantification Tool'!$B$18="Coldwater",
ROUND(IF(E216&gt;=69.3,0,
IF(E216&lt;=59,1,E216*'Reference Standards'!$AD$16+'Reference Standards'!$AD$17)),2),                                   IF('Quantification Tool'!$B$18="Cold-transitional",
ROUND(IF(E216&gt;=71.38,0,
IF(E216&lt;=66.2,1,E216*'Reference Standards'!$AE$16+'Reference Standards'!$AE$17)),2),                                  IF(LEFT('Quantification Tool'!$B$18,1)="W",
ROUND(IF(E216&gt;=82.6,0,
IF(E216&lt;=69.8,1,
E216*'Reference Standards'!$AF$16+'Reference Standards'!$AF$17)),2)))))</f>
        <v/>
      </c>
      <c r="G216" s="78" t="str">
        <f>IFERROR(AVERAGE(F216),"")</f>
        <v/>
      </c>
      <c r="H216" s="359" t="str">
        <f>IFERROR(ROUND(AVERAGE(G216:G219),2),"")</f>
        <v/>
      </c>
      <c r="I216" s="360" t="str">
        <f>IF(H216="","",IF(H216&gt;0.69,"Functioning",IF(H216&gt;0.29,"Functioning At Risk",IF(H216&gt;-1,"Not Functioning"))))</f>
        <v/>
      </c>
      <c r="J216" s="422"/>
    </row>
    <row r="217" spans="1:10" ht="15.75" x14ac:dyDescent="0.25">
      <c r="A217" s="362"/>
      <c r="B217" s="64" t="s">
        <v>109</v>
      </c>
      <c r="C217" s="94" t="s">
        <v>386</v>
      </c>
      <c r="D217" s="65"/>
      <c r="E217" s="123"/>
      <c r="F217" s="211" t="str">
        <f>IF(E217="","",ROUND(IF(E217&gt;=4500,0,IF(E217&lt;=10,1, IF(E217&lt;1000, E217^2*'Reference Standards'!$AD$49+E217*'Reference Standards'!$AD$50+'Reference Standards'!$AD$51,E217^2*'Reference Standards'!$AE$49+E217*'Reference Standards'!$AE$50+'Reference Standards'!$AE$51))),2))</f>
        <v/>
      </c>
      <c r="G217" s="78" t="str">
        <f>IFERROR(AVERAGE(F217),"")</f>
        <v/>
      </c>
      <c r="H217" s="359"/>
      <c r="I217" s="360"/>
      <c r="J217" s="422"/>
    </row>
    <row r="218" spans="1:10" ht="15.75" x14ac:dyDescent="0.25">
      <c r="A218" s="362"/>
      <c r="B218" s="168" t="s">
        <v>246</v>
      </c>
      <c r="C218" s="168" t="s">
        <v>277</v>
      </c>
      <c r="D218" s="137"/>
      <c r="E218" s="169"/>
      <c r="F218" s="212" t="str">
        <f>IF(E218="","",  IF(OR('Quantification Tool'!$B$14="Northern Lakes and Forests",'Quantification Tool'!$B$14="North Central Hardwood Forests"), ROUND(IF(E218&gt;=151,0, IF(E218&lt;=3.9,1, IF(E218&lt;=12, E218*'Reference Standards'!$AD$86+'Reference Standards'!$AD$87,IF(E218&lt;50,E218*'Reference Standards'!$AE$86+'Reference Standards'!$AE$87, E218*'Reference Standards'!$AF$86+'Reference Standards'!$AF$87)))),2),
IF(OR('Quantification Tool'!$B$14="Southern Michigan/Northern Indiana Drift Plains"), ROUND(IF(E218&gt;=186,0, IF(E218&lt;=12.5,1, IF(E218&lt;=30, E218*'Reference Standards'!$AG$86+'Reference Standards'!$AG$87,IF(E218&lt;90,E218*'Reference Standards'!$AH$86+'Reference Standards'!$AH$87,E218*'Reference Standards'!$AI$86+'Reference Standards'!$AI$87)))),2),
IF(OR('Quantification Tool'!$B$14="Huron Erie Lake Plains",'Quantification Tool'!$B$14="Eastern Corn Belt Plains"), ROUND(IF(E218&gt;=550,0, IF(E218&lt;=29,1, IF(E218&lt;=70, E218*'Reference Standards'!$AD$118+'Reference Standards'!$AD$119,IF(E218&lt;160,  E218*'Reference Standards'!$AE$118+'Reference Standards'!$AE$119,   E218*'Reference Standards'!$AF$118+'Reference Standards'!$AF$119)))),2)))    ))</f>
        <v/>
      </c>
      <c r="G218" s="79" t="str">
        <f>IFERROR(AVERAGE(F218),"")</f>
        <v/>
      </c>
      <c r="H218" s="359"/>
      <c r="I218" s="360"/>
      <c r="J218" s="422"/>
    </row>
    <row r="219" spans="1:10" ht="15.75" x14ac:dyDescent="0.25">
      <c r="A219" s="363"/>
      <c r="B219" s="232" t="s">
        <v>247</v>
      </c>
      <c r="C219" s="240" t="s">
        <v>387</v>
      </c>
      <c r="D219" s="244"/>
      <c r="E219" s="106"/>
      <c r="F219" s="212" t="str">
        <f>IF(E219="","",          IF(LEFT('Quantification Tool'!$B$18,1)="C",
ROUND(IF(E219&lt;=5.25,0,
IF(E219&gt;=7.75,1,E219*'Reference Standards'!$AD$152+'Reference Standards'!$AD$153)),2), IF(LEFT('Quantification Tool'!$B$18,1)="W",
ROUND(IF(E219&lt;=3.25,0,
IF(E219&gt;=5.75,1,
E219*'Reference Standards'!$AE$152+'Reference Standards'!$AE$153)),2))))</f>
        <v/>
      </c>
      <c r="G219" s="80" t="str">
        <f>IFERROR(AVERAGE(F219),"")</f>
        <v/>
      </c>
      <c r="H219" s="359"/>
      <c r="I219" s="360"/>
      <c r="J219" s="422"/>
    </row>
    <row r="220" spans="1:10" ht="15.75" x14ac:dyDescent="0.25">
      <c r="A220" s="380" t="s">
        <v>60</v>
      </c>
      <c r="B220" s="378" t="s">
        <v>249</v>
      </c>
      <c r="C220" s="99" t="s">
        <v>388</v>
      </c>
      <c r="D220" s="100"/>
      <c r="E220" s="150"/>
      <c r="F220" s="213" t="str">
        <f>IF(E220="","",IF('Quantification Tool'!$B$19="Wadeable",IF(E220&lt;=-9,0,IF(E220&gt;=9,1,ROUND(E220*'Reference Standards'!AM$13+'Reference Standards'!AM$14,2))) ))</f>
        <v/>
      </c>
      <c r="G220" s="408" t="str">
        <f>IFERROR(AVERAGE(F220:F221),"")</f>
        <v/>
      </c>
      <c r="H220" s="414" t="str">
        <f>IFERROR(ROUND(AVERAGE(G220:G222),2),"")</f>
        <v/>
      </c>
      <c r="I220" s="360" t="str">
        <f>IF(H220="","",IF(H220&gt;0.69,"Functioning",IF(H220&gt;0.29,"Functioning At Risk",IF(H220&gt;-1,"Not Functioning"))))</f>
        <v/>
      </c>
      <c r="J220" s="422"/>
    </row>
    <row r="221" spans="1:10" ht="15.75" x14ac:dyDescent="0.25">
      <c r="A221" s="381"/>
      <c r="B221" s="379"/>
      <c r="C221" s="101" t="s">
        <v>389</v>
      </c>
      <c r="D221" s="66"/>
      <c r="E221" s="151"/>
      <c r="F221" s="81" t="str">
        <f>IF(E221="","", IF('Quantification Tool'!$B$19="Non-wadeable",IF(E221&lt;=0,0, IF(E221&gt;=100,1, ROUND( E221*'Reference Standards'!AM$46+'Reference Standards'!AM$47,2)))))</f>
        <v/>
      </c>
      <c r="G221" s="409"/>
      <c r="H221" s="414"/>
      <c r="I221" s="360"/>
      <c r="J221" s="422"/>
    </row>
    <row r="222" spans="1:10" ht="15.75" x14ac:dyDescent="0.25">
      <c r="A222" s="382"/>
      <c r="B222" s="233" t="s">
        <v>84</v>
      </c>
      <c r="C222" s="66" t="s">
        <v>390</v>
      </c>
      <c r="D222" s="66"/>
      <c r="E222" s="124"/>
      <c r="F222" s="214" t="str">
        <f>IF(E222="","",IF(AND('Quantification Tool'!$B$19="Wadeable",OR('Quantification Tool'!$B$18="Warm",'Quantification Tool'!$B$18="Warm-transitional")),IF(E222&lt;=-10,0,IF(E222&gt;=10,1,ROUND(E222*'Reference Standards'!$AM$80+'Reference Standards'!$AM$81,2)))))</f>
        <v/>
      </c>
      <c r="G222" s="81" t="str">
        <f>IFERROR(AVERAGE(F222),"")</f>
        <v/>
      </c>
      <c r="H222" s="414"/>
      <c r="I222" s="360"/>
      <c r="J222" s="423"/>
    </row>
    <row r="225" spans="1:10" ht="21" x14ac:dyDescent="0.35">
      <c r="A225" s="128" t="s">
        <v>182</v>
      </c>
      <c r="B225" s="129"/>
      <c r="C225" s="130" t="s">
        <v>183</v>
      </c>
      <c r="D225" s="129"/>
      <c r="E225" s="131"/>
      <c r="F225" s="132"/>
      <c r="G225" s="383" t="s">
        <v>17</v>
      </c>
      <c r="H225" s="384"/>
      <c r="I225" s="384"/>
      <c r="J225" s="385"/>
    </row>
    <row r="226" spans="1:10" ht="31.5" x14ac:dyDescent="0.25">
      <c r="A226" s="246" t="s">
        <v>1</v>
      </c>
      <c r="B226" s="246" t="s">
        <v>2</v>
      </c>
      <c r="C226" s="386" t="s">
        <v>346</v>
      </c>
      <c r="D226" s="396"/>
      <c r="E226" s="246" t="s">
        <v>15</v>
      </c>
      <c r="F226" s="246" t="s">
        <v>16</v>
      </c>
      <c r="G226" s="246" t="s">
        <v>18</v>
      </c>
      <c r="H226" s="246" t="s">
        <v>19</v>
      </c>
      <c r="I226" s="246" t="s">
        <v>19</v>
      </c>
      <c r="J226" s="246" t="s">
        <v>20</v>
      </c>
    </row>
    <row r="227" spans="1:10" ht="15.75" x14ac:dyDescent="0.25">
      <c r="A227" s="375" t="s">
        <v>62</v>
      </c>
      <c r="B227" s="376" t="s">
        <v>168</v>
      </c>
      <c r="C227" s="108" t="s">
        <v>217</v>
      </c>
      <c r="D227" s="107"/>
      <c r="E227" s="106"/>
      <c r="F227" s="204" t="str">
        <f>IF(E227="","",IF(E227&gt;81,0,IF(E227&lt;=30,1,ROUND(IF(E227&gt;55,'Reference Standards'!C$14*E227+'Reference Standards'!C$15,'Reference Standards'!D$14*E227+'Reference Standards'!D$15),2))))</f>
        <v/>
      </c>
      <c r="G227" s="415" t="str">
        <f>IFERROR(AVERAGE(F227:F228),"")</f>
        <v/>
      </c>
      <c r="H227" s="415" t="str">
        <f>IFERROR(ROUND(AVERAGE(G227),2),"")</f>
        <v/>
      </c>
      <c r="I227" s="364" t="str">
        <f>IF(H227="","",IF(H227&gt;0.69,"Functioning",IF(H227&gt;0.29,"Functioning At Risk",IF(H227&gt;-1,"Not Functioning"))))</f>
        <v/>
      </c>
      <c r="J227" s="421" t="str">
        <f>IF(AND(H227="",H229="",H231="",H244="",H248=""),"",ROUND((IF(H227="",0,H227)*0.2)+(IF(H229="",0,H229)*0.2)+(IF(H231="",0,H231)*0.2)+(IF(H244="",0,H244)*0.2)+(IF(H248="",0,H248)*0.2),2))</f>
        <v/>
      </c>
    </row>
    <row r="228" spans="1:10" ht="15.75" x14ac:dyDescent="0.25">
      <c r="A228" s="375"/>
      <c r="B228" s="377"/>
      <c r="C228" s="109" t="s">
        <v>338</v>
      </c>
      <c r="D228" s="54"/>
      <c r="E228" s="124"/>
      <c r="F228" s="205" t="str">
        <f>IF(E228="","",IF(E228&gt;=3.33,0,IF(E228=0,1,ROUND('Reference Standards'!C$47*E228+'Reference Standards'!C$48,2))))</f>
        <v/>
      </c>
      <c r="G228" s="416"/>
      <c r="H228" s="417"/>
      <c r="I228" s="365"/>
      <c r="J228" s="422"/>
    </row>
    <row r="229" spans="1:10" ht="15.75" x14ac:dyDescent="0.25">
      <c r="A229" s="372" t="s">
        <v>6</v>
      </c>
      <c r="B229" s="374" t="s">
        <v>7</v>
      </c>
      <c r="C229" s="55" t="s">
        <v>8</v>
      </c>
      <c r="D229" s="166"/>
      <c r="E229" s="123"/>
      <c r="F229" s="206" t="str">
        <f>IF(E229="","",ROUND(IF(E229&gt;=1.714,0,    IF(E229&lt;=1,1,E229*'Reference Standards'!$L$13+'Reference Standards'!$L$14)),2))</f>
        <v/>
      </c>
      <c r="G229" s="411" t="str">
        <f>IFERROR(AVERAGE(F229:F230),"")</f>
        <v/>
      </c>
      <c r="H229" s="411" t="str">
        <f>IFERROR(ROUND(AVERAGE(G229),2),"")</f>
        <v/>
      </c>
      <c r="I229" s="364" t="str">
        <f>IF(H229="","",IF(H229&gt;0.69,"Functioning",IF(H229&gt;0.29,"Functioning At Risk",IF(H229&gt;-1,"Not Functioning"))))</f>
        <v/>
      </c>
      <c r="J229" s="422"/>
    </row>
    <row r="230" spans="1:10" ht="15.75" x14ac:dyDescent="0.25">
      <c r="A230" s="373"/>
      <c r="B230" s="373"/>
      <c r="C230" s="164" t="s">
        <v>9</v>
      </c>
      <c r="D230" s="165"/>
      <c r="E230" s="124"/>
      <c r="F230" s="207" t="str">
        <f>IF(E230="","",IF(OR('Quantification Tool'!$B$9="A",'Quantification Tool'!$B$9="B", 'Quantification Tool'!$B$9="Bc"),IF(E230&lt;=1.05,0,IF(E230&gt;=2.2,1,ROUND(IF(E230&lt;1.4,E230*'Reference Standards'!$L$83+'Reference Standards'!$L$84,E230*'Reference Standards'!$M$83+'Reference Standards'!$M$84),2))),IF(OR('Quantification Tool'!$B$9="C",'Quantification Tool'!$B$9="E"),IF(E230&lt;1.7,0,IF(E230&gt;=5,1,ROUND(IF(E230&lt;2.4,E230*'Reference Standards'!$M$48+'Reference Standards'!$M$49,E230*'Reference Standards'!$L$48+'Reference Standards'!$L$49),2))))))</f>
        <v/>
      </c>
      <c r="G230" s="412"/>
      <c r="H230" s="412"/>
      <c r="I230" s="365"/>
      <c r="J230" s="422"/>
    </row>
    <row r="231" spans="1:10" ht="15.75" customHeight="1" x14ac:dyDescent="0.25">
      <c r="A231" s="366" t="s">
        <v>27</v>
      </c>
      <c r="B231" s="265" t="s">
        <v>28</v>
      </c>
      <c r="C231" s="266" t="s">
        <v>24</v>
      </c>
      <c r="D231" s="267"/>
      <c r="E231" s="47"/>
      <c r="F231" s="77" t="str">
        <f>IF(E231="","",IF(E231&gt;=2825,1,IF(E231&lt;=0,0, ROUND(IF(E231&lt;1350,E231*'Reference Standards'!$U$13+'Reference Standards'!$U$14,E231*'Reference Standards'!$V$13+'Reference Standards'!$V$14),2))))</f>
        <v/>
      </c>
      <c r="G231" s="262" t="str">
        <f>IFERROR(AVERAGE(F231:F231),"")</f>
        <v/>
      </c>
      <c r="H231" s="369" t="str">
        <f>IFERROR(ROUND(AVERAGE(G231:G243),2),"")</f>
        <v/>
      </c>
      <c r="I231" s="364" t="str">
        <f>IF(H231="","",IF(H231&gt;0.69,"Functioning",IF(H231&gt;0.29,"Functioning At Risk",IF(H231&gt;-1,"Not Functioning"))))</f>
        <v/>
      </c>
      <c r="J231" s="422"/>
    </row>
    <row r="232" spans="1:10" ht="15.75" x14ac:dyDescent="0.25">
      <c r="A232" s="367"/>
      <c r="B232" s="366" t="s">
        <v>241</v>
      </c>
      <c r="C232" s="56" t="s">
        <v>51</v>
      </c>
      <c r="D232" s="56"/>
      <c r="E232" s="305"/>
      <c r="F232" s="225" t="str">
        <f>IF(E232="","",IF(OR(E232="Ex/Ex",E232="Ex/VH",E232="Ex/H",E232="Ex/M",E232="VH/Ex",E232="VH/VH", E232="H/Ex",E232="H/VH"),0, IF(OR(E232="M/Ex"),0.1,IF(OR(E232="VH/H",E232="VH/M",E232="H/H",E232="H/M", E232="M/VH"),0.2, IF(OR(E232="Ex/VL",E232="Ex/L", E232="M/H"),0.3, IF(OR(E232="VH/L",E232="H/L"),0.4, IF(OR(E232="VH/VL",E232="H/VL",E232="M/M"),0.5, IF(OR(E232="M/L",E232="L/Ex"),0.6, IF(OR(E232="M/VL",E232="L/VH", E232="L/H",E232="L/M",E232="L/L",E232="L/VL", LEFT(E232,2)="VL"),1)))))))))</f>
        <v/>
      </c>
      <c r="G232" s="418" t="str">
        <f>IFERROR(AVERAGE(F232:F234),"")</f>
        <v/>
      </c>
      <c r="H232" s="370"/>
      <c r="I232" s="424"/>
      <c r="J232" s="422"/>
    </row>
    <row r="233" spans="1:10" s="251" customFormat="1" ht="15.75" x14ac:dyDescent="0.25">
      <c r="A233" s="367"/>
      <c r="B233" s="367"/>
      <c r="C233" s="57" t="s">
        <v>108</v>
      </c>
      <c r="D233" s="57"/>
      <c r="E233" s="123"/>
      <c r="F233" s="77" t="str">
        <f>IF(E233="","",ROUND(IF(E233&gt;=75,0,IF(E233&lt;=5,1,IF(E233&gt;10,E233*'Reference Standards'!U$48+'Reference Standards'!U$49,E233*'Reference Standards'!V$48+'Reference Standards'!V$49 ))),2))</f>
        <v/>
      </c>
      <c r="G233" s="418"/>
      <c r="H233" s="370"/>
      <c r="I233" s="424"/>
      <c r="J233" s="422"/>
    </row>
    <row r="234" spans="1:10" ht="15.75" x14ac:dyDescent="0.25">
      <c r="A234" s="367"/>
      <c r="B234" s="368"/>
      <c r="C234" s="56" t="s">
        <v>336</v>
      </c>
      <c r="D234" s="56"/>
      <c r="E234" s="124"/>
      <c r="F234" s="208" t="str">
        <f>IF(E234="","",IF(E234&gt;=30,0,IF(E234&lt;=0,1,ROUND(E234*'Reference Standards'!$U$81+'Reference Standards'!$U$82,2))))</f>
        <v/>
      </c>
      <c r="G234" s="418"/>
      <c r="H234" s="370"/>
      <c r="I234" s="424"/>
      <c r="J234" s="422"/>
    </row>
    <row r="235" spans="1:10" ht="15.75" x14ac:dyDescent="0.25">
      <c r="A235" s="367"/>
      <c r="B235" s="366" t="s">
        <v>52</v>
      </c>
      <c r="C235" s="58" t="s">
        <v>335</v>
      </c>
      <c r="D235" s="61"/>
      <c r="E235" s="106"/>
      <c r="F235" s="77" t="str">
        <f>IF(E235="","",IF(E235&gt;=150,1,IF(E235&lt;=0,0,ROUND(E235^2*'Reference Standards'!$U$115+E235*'Reference Standards'!$U$116+'Reference Standards'!$U$117,2))))</f>
        <v/>
      </c>
      <c r="G235" s="369" t="str">
        <f>IFERROR(AVERAGE(F235:F239),"")</f>
        <v/>
      </c>
      <c r="H235" s="370"/>
      <c r="I235" s="424"/>
      <c r="J235" s="422"/>
    </row>
    <row r="236" spans="1:10" ht="15.75" x14ac:dyDescent="0.25">
      <c r="A236" s="367"/>
      <c r="B236" s="367"/>
      <c r="C236" s="59" t="s">
        <v>355</v>
      </c>
      <c r="D236" s="56"/>
      <c r="E236" s="149"/>
      <c r="F236" s="77" t="str">
        <f>IF(E236="","",IF('Quantification Tool'!$B$20="Forested",IF(E236&gt;=12,1,IF(E236&lt;=0,0,ROUND(E236*'Reference Standards'!$U$149+'Reference Standards'!$U$150,2)))))</f>
        <v/>
      </c>
      <c r="G236" s="370"/>
      <c r="H236" s="370"/>
      <c r="I236" s="424"/>
      <c r="J236" s="422"/>
    </row>
    <row r="237" spans="1:10" ht="15.75" x14ac:dyDescent="0.25">
      <c r="A237" s="367"/>
      <c r="B237" s="367"/>
      <c r="C237" s="59" t="s">
        <v>356</v>
      </c>
      <c r="D237" s="56"/>
      <c r="E237" s="123"/>
      <c r="F237" s="77" t="str">
        <f>IF(E237="","",IF('Quantification Tool'!$B$20="Forested",IF(AND(E237&gt;=95,E237&lt;=200),1,IF(E237&lt;=0,0,IF(E237&gt;=300,0.5,IF(E237&lt;100,ROUND(E237*'Reference Standards'!$U$184+'Reference Standards'!$U$185,2),ROUND(E237*'Reference Standards'!$V$184+'Reference Standards'!$V$185,2)))))))</f>
        <v/>
      </c>
      <c r="G237" s="370"/>
      <c r="H237" s="370"/>
      <c r="I237" s="424"/>
      <c r="J237" s="422"/>
    </row>
    <row r="238" spans="1:10" ht="15.75" x14ac:dyDescent="0.25">
      <c r="A238" s="367"/>
      <c r="B238" s="367"/>
      <c r="C238" s="59" t="s">
        <v>391</v>
      </c>
      <c r="D238" s="200"/>
      <c r="E238" s="123"/>
      <c r="F238" s="77" t="str">
        <f>IF(E238="","",IF('Quantification Tool'!$B$20="Forested",IF(E238&gt;=100,1,ROUND(E238*'Reference Standards'!$U$219+'Reference Standards'!$U$220,2)),IF('Quantification Tool'!$B$20="Scrub-shrub",IF(E238&gt;=470,1,ROUND(E238*'Reference Standards'!$V$219+'Reference Standards'!$V$220,2)))))</f>
        <v/>
      </c>
      <c r="G238" s="370"/>
      <c r="H238" s="370"/>
      <c r="I238" s="424"/>
      <c r="J238" s="422"/>
    </row>
    <row r="239" spans="1:10" ht="15.75" x14ac:dyDescent="0.25">
      <c r="A239" s="367"/>
      <c r="B239" s="367"/>
      <c r="C239" s="60" t="s">
        <v>354</v>
      </c>
      <c r="D239" s="62"/>
      <c r="E239" s="123"/>
      <c r="F239" s="77" t="str">
        <f>IF(E239="","",IF('Quantification Tool'!$B$20="Herbaceous",IF(E239&gt;=80,1,IF(E239&lt;=0,0,ROUND(E239*'Reference Standards'!$U$251+'Reference Standards'!$U$252,2)))))</f>
        <v/>
      </c>
      <c r="G239" s="370"/>
      <c r="H239" s="370"/>
      <c r="I239" s="424"/>
      <c r="J239" s="422"/>
    </row>
    <row r="240" spans="1:10" ht="15.75" x14ac:dyDescent="0.25">
      <c r="A240" s="367"/>
      <c r="B240" s="366" t="s">
        <v>53</v>
      </c>
      <c r="C240" s="61" t="s">
        <v>54</v>
      </c>
      <c r="D240" s="61"/>
      <c r="E240" s="150"/>
      <c r="F240" s="209" t="str">
        <f>IF(E240="","",IF(OR('Quantification Tool'!$B$9="C",'Quantification Tool'!$B$9="E"),ROUND(IF(OR(E240&lt;=1,E240&gt;=9),0,IF(AND(E240&gt;=3.5,E240&lt;=6),1,IF(E240&lt;3.5,E240*'Reference Standards'!$U$289+'Reference Standards'!$U$290,E240*'Reference Standards'!$V$289+'Reference Standards'!$V$290))),2),IF(OR('Quantification Tool'!$B$9="A",'Quantification Tool'!$B$9="B"),ROUND(IF(OR(E240&gt;=6.5,E240=0),0,IF(E240&lt;=4,1,E240^2*'Reference Standards'!$U$320+E240*'Reference Standards'!$U$321+'Reference Standards'!$U$322)),2),IF('Quantification Tool'!$B$9="Bc",ROUND(IF(E240&gt;=8,0,IF(E240&lt;=5,1,E240^2*'Reference Standards'!$U$352+E240*'Reference Standards'!$U$353+'Reference Standards'!$U$354)),2)))))</f>
        <v/>
      </c>
      <c r="G240" s="462" t="str">
        <f>IFERROR(AVERAGE(F240:F243),"")</f>
        <v/>
      </c>
      <c r="H240" s="370"/>
      <c r="I240" s="424"/>
      <c r="J240" s="422"/>
    </row>
    <row r="241" spans="1:10" ht="15.75" x14ac:dyDescent="0.25">
      <c r="A241" s="367"/>
      <c r="B241" s="367"/>
      <c r="C241" s="56" t="s">
        <v>55</v>
      </c>
      <c r="D241" s="56"/>
      <c r="E241" s="149"/>
      <c r="F241" s="77" t="str">
        <f>IF(E241="","", ROUND(  IF(E241&lt;=1.1,0, IF(E241&gt;=3,1, IF(E241&lt;2, E241^2*'Reference Standards'!$U$387+  E241*'Reference Standards'!$U$388 + 'Reference Standards'!$U$389,     E241^2*'Reference Standards'!$V$387+  E241*'Reference Standards'!$V$388 + 'Reference Standards'!$V$389))),2))</f>
        <v/>
      </c>
      <c r="G241" s="461"/>
      <c r="H241" s="370"/>
      <c r="I241" s="424"/>
      <c r="J241" s="422"/>
    </row>
    <row r="242" spans="1:10" ht="15.75" x14ac:dyDescent="0.25">
      <c r="A242" s="367"/>
      <c r="B242" s="367"/>
      <c r="C242" s="56" t="s">
        <v>337</v>
      </c>
      <c r="D242" s="56"/>
      <c r="E242" s="149"/>
      <c r="F242" s="210" t="str">
        <f>IF(E242="","", IF(OR('Quantification Tool'!$B$9="A",LEFT('Quantification Tool'!$B$9,1)="B"), ROUND(IF(OR(E242&lt;=20,E242&gt;=90),0,IF(AND(E242&gt;=50,E242&lt;=60),1,IF(E242&lt;50, E242*'Reference Standards'!$U$422+'Reference Standards'!$U$423, E242*'Reference Standards'!$V$422+'Reference Standards'!$V$423))),2),   IF(OR('Quantification Tool'!$B$9="C",'Quantification Tool'!$B$9="E"), ROUND(IF(OR(E242&lt;=20,E242&gt;=85),0, IF(AND(E242&lt;=65,E242&gt;=45), 1, IF(E242&lt;45, E242*'Reference Standards'!$U$457+'Reference Standards'!$U$458,E242*'Reference Standards'!$V$457+'Reference Standards'!$V$458 ))),2)   )  ))</f>
        <v/>
      </c>
      <c r="G242" s="461"/>
      <c r="H242" s="370"/>
      <c r="I242" s="424"/>
      <c r="J242" s="422"/>
    </row>
    <row r="243" spans="1:10" ht="15.75" x14ac:dyDescent="0.25">
      <c r="A243" s="368"/>
      <c r="B243" s="368"/>
      <c r="C243" s="62" t="s">
        <v>180</v>
      </c>
      <c r="D243" s="62"/>
      <c r="E243" s="151"/>
      <c r="F243" s="299" t="str">
        <f>IF(E243="","",IF(E243&gt;=1.6,0,IF(E243&lt;=1,1,ROUND('Reference Standards'!$U$489*E243^3+'Reference Standards'!$U$490*E243^2+'Reference Standards'!$U$491*E243+'Reference Standards'!$U$492,2))))</f>
        <v/>
      </c>
      <c r="G243" s="463"/>
      <c r="H243" s="371"/>
      <c r="I243" s="365"/>
      <c r="J243" s="422"/>
    </row>
    <row r="244" spans="1:10" ht="15.75" x14ac:dyDescent="0.25">
      <c r="A244" s="361" t="s">
        <v>59</v>
      </c>
      <c r="B244" s="231" t="s">
        <v>94</v>
      </c>
      <c r="C244" s="63" t="s">
        <v>245</v>
      </c>
      <c r="D244" s="63"/>
      <c r="E244" s="47"/>
      <c r="F244" s="79" t="str">
        <f>IF(E244="","",IF('Quantification Tool'!$B$18="Coldwater",
ROUND(IF(E244&gt;=69.3,0,
IF(E244&lt;=59,1,E244*'Reference Standards'!$AD$16+'Reference Standards'!$AD$17)),2),                                   IF('Quantification Tool'!$B$18="Cold-transitional",
ROUND(IF(E244&gt;=71.38,0,
IF(E244&lt;=66.2,1,E244*'Reference Standards'!$AE$16+'Reference Standards'!$AE$17)),2),                                  IF(LEFT('Quantification Tool'!$B$18,1)="W",
ROUND(IF(E244&gt;=82.6,0,
IF(E244&lt;=69.8,1,
E244*'Reference Standards'!$AF$16+'Reference Standards'!$AF$17)),2)))))</f>
        <v/>
      </c>
      <c r="G244" s="78" t="str">
        <f>IFERROR(AVERAGE(F244),"")</f>
        <v/>
      </c>
      <c r="H244" s="359" t="str">
        <f>IFERROR(ROUND(AVERAGE(G244:G247),2),"")</f>
        <v/>
      </c>
      <c r="I244" s="360" t="str">
        <f>IF(H244="","",IF(H244&gt;0.69,"Functioning",IF(H244&gt;0.29,"Functioning At Risk",IF(H244&gt;-1,"Not Functioning"))))</f>
        <v/>
      </c>
      <c r="J244" s="422"/>
    </row>
    <row r="245" spans="1:10" ht="15.75" x14ac:dyDescent="0.25">
      <c r="A245" s="362"/>
      <c r="B245" s="64" t="s">
        <v>109</v>
      </c>
      <c r="C245" s="94" t="s">
        <v>386</v>
      </c>
      <c r="D245" s="65"/>
      <c r="E245" s="123"/>
      <c r="F245" s="211" t="str">
        <f>IF(E245="","",ROUND(IF(E245&gt;=4500,0,IF(E245&lt;=10,1, IF(E245&lt;1000, E245^2*'Reference Standards'!$AD$49+E245*'Reference Standards'!$AD$50+'Reference Standards'!$AD$51,E245^2*'Reference Standards'!$AE$49+E245*'Reference Standards'!$AE$50+'Reference Standards'!$AE$51))),2))</f>
        <v/>
      </c>
      <c r="G245" s="78" t="str">
        <f>IFERROR(AVERAGE(F245),"")</f>
        <v/>
      </c>
      <c r="H245" s="359"/>
      <c r="I245" s="360"/>
      <c r="J245" s="422"/>
    </row>
    <row r="246" spans="1:10" ht="15.75" x14ac:dyDescent="0.25">
      <c r="A246" s="362"/>
      <c r="B246" s="168" t="s">
        <v>246</v>
      </c>
      <c r="C246" s="168" t="s">
        <v>277</v>
      </c>
      <c r="D246" s="137"/>
      <c r="E246" s="169"/>
      <c r="F246" s="212" t="str">
        <f>IF(E246="","",  IF(OR('Quantification Tool'!$B$14="Northern Lakes and Forests",'Quantification Tool'!$B$14="North Central Hardwood Forests"), ROUND(IF(E246&gt;=151,0, IF(E246&lt;=3.9,1, IF(E246&lt;=12, E246*'Reference Standards'!$AD$86+'Reference Standards'!$AD$87,IF(E246&lt;50,E246*'Reference Standards'!$AE$86+'Reference Standards'!$AE$87, E246*'Reference Standards'!$AF$86+'Reference Standards'!$AF$87)))),2),
IF(OR('Quantification Tool'!$B$14="Southern Michigan/Northern Indiana Drift Plains"), ROUND(IF(E246&gt;=186,0, IF(E246&lt;=12.5,1, IF(E246&lt;=30, E246*'Reference Standards'!$AG$86+'Reference Standards'!$AG$87,IF(E246&lt;90,E246*'Reference Standards'!$AH$86+'Reference Standards'!$AH$87,E246*'Reference Standards'!$AI$86+'Reference Standards'!$AI$87)))),2),
IF(OR('Quantification Tool'!$B$14="Huron Erie Lake Plains",'Quantification Tool'!$B$14="Eastern Corn Belt Plains"), ROUND(IF(E246&gt;=550,0, IF(E246&lt;=29,1, IF(E246&lt;=70, E246*'Reference Standards'!$AD$118+'Reference Standards'!$AD$119,IF(E246&lt;160,  E246*'Reference Standards'!$AE$118+'Reference Standards'!$AE$119,   E246*'Reference Standards'!$AF$118+'Reference Standards'!$AF$119)))),2)))    ))</f>
        <v/>
      </c>
      <c r="G246" s="79" t="str">
        <f>IFERROR(AVERAGE(F246),"")</f>
        <v/>
      </c>
      <c r="H246" s="359"/>
      <c r="I246" s="360"/>
      <c r="J246" s="422"/>
    </row>
    <row r="247" spans="1:10" ht="15.75" x14ac:dyDescent="0.25">
      <c r="A247" s="363"/>
      <c r="B247" s="232" t="s">
        <v>247</v>
      </c>
      <c r="C247" s="240" t="s">
        <v>387</v>
      </c>
      <c r="D247" s="244"/>
      <c r="E247" s="106"/>
      <c r="F247" s="212" t="str">
        <f>IF(E247="","",          IF(LEFT('Quantification Tool'!$B$18,1)="C",
ROUND(IF(E247&lt;=5.25,0,
IF(E247&gt;=7.75,1,E247*'Reference Standards'!$AD$152+'Reference Standards'!$AD$153)),2), IF(LEFT('Quantification Tool'!$B$18,1)="W",
ROUND(IF(E247&lt;=3.25,0,
IF(E247&gt;=5.75,1,
E247*'Reference Standards'!$AE$152+'Reference Standards'!$AE$153)),2))))</f>
        <v/>
      </c>
      <c r="G247" s="80" t="str">
        <f>IFERROR(AVERAGE(F247),"")</f>
        <v/>
      </c>
      <c r="H247" s="359"/>
      <c r="I247" s="360"/>
      <c r="J247" s="422"/>
    </row>
    <row r="248" spans="1:10" ht="15.75" x14ac:dyDescent="0.25">
      <c r="A248" s="380" t="s">
        <v>60</v>
      </c>
      <c r="B248" s="378" t="s">
        <v>249</v>
      </c>
      <c r="C248" s="99" t="s">
        <v>388</v>
      </c>
      <c r="D248" s="100"/>
      <c r="E248" s="150"/>
      <c r="F248" s="213" t="str">
        <f>IF(E248="","",IF('Quantification Tool'!$B$19="Wadeable",IF(E248&lt;=-9,0,IF(E248&gt;=9,1,ROUND(E248*'Reference Standards'!AM$13+'Reference Standards'!AM$14,2))) ))</f>
        <v/>
      </c>
      <c r="G248" s="408" t="str">
        <f>IFERROR(AVERAGE(F248:F249),"")</f>
        <v/>
      </c>
      <c r="H248" s="414" t="str">
        <f>IFERROR(ROUND(AVERAGE(G248:G250),2),"")</f>
        <v/>
      </c>
      <c r="I248" s="360" t="str">
        <f>IF(H248="","",IF(H248&gt;0.69,"Functioning",IF(H248&gt;0.29,"Functioning At Risk",IF(H248&gt;-1,"Not Functioning"))))</f>
        <v/>
      </c>
      <c r="J248" s="422"/>
    </row>
    <row r="249" spans="1:10" ht="15.75" x14ac:dyDescent="0.25">
      <c r="A249" s="381"/>
      <c r="B249" s="379"/>
      <c r="C249" s="101" t="s">
        <v>389</v>
      </c>
      <c r="D249" s="66"/>
      <c r="E249" s="151"/>
      <c r="F249" s="81" t="str">
        <f>IF(E249="","", IF('Quantification Tool'!$B$19="Non-wadeable",IF(E249&lt;=0,0, IF(E249&gt;=100,1, ROUND( E249*'Reference Standards'!AM$46+'Reference Standards'!AM$47,2)))))</f>
        <v/>
      </c>
      <c r="G249" s="409"/>
      <c r="H249" s="414"/>
      <c r="I249" s="360"/>
      <c r="J249" s="422"/>
    </row>
    <row r="250" spans="1:10" ht="15.75" x14ac:dyDescent="0.25">
      <c r="A250" s="382"/>
      <c r="B250" s="233" t="s">
        <v>84</v>
      </c>
      <c r="C250" s="66" t="s">
        <v>390</v>
      </c>
      <c r="D250" s="66"/>
      <c r="E250" s="124"/>
      <c r="F250" s="214" t="str">
        <f>IF(E250="","",IF(AND('Quantification Tool'!$B$19="Wadeable",OR('Quantification Tool'!$B$18="Warm",'Quantification Tool'!$B$18="Warm-transitional")),IF(E250&lt;=-10,0,IF(E250&gt;=10,1,ROUND(E250*'Reference Standards'!$AM$80+'Reference Standards'!$AM$81,2)))))</f>
        <v/>
      </c>
      <c r="G250" s="81" t="str">
        <f>IFERROR(AVERAGE(F250),"")</f>
        <v/>
      </c>
      <c r="H250" s="414"/>
      <c r="I250" s="360"/>
      <c r="J250" s="423"/>
    </row>
    <row r="253" spans="1:10" ht="21" x14ac:dyDescent="0.35">
      <c r="A253" s="128" t="s">
        <v>182</v>
      </c>
      <c r="B253" s="129"/>
      <c r="C253" s="130" t="s">
        <v>183</v>
      </c>
      <c r="D253" s="129"/>
      <c r="E253" s="131"/>
      <c r="F253" s="132"/>
      <c r="G253" s="383" t="s">
        <v>17</v>
      </c>
      <c r="H253" s="384"/>
      <c r="I253" s="384"/>
      <c r="J253" s="385"/>
    </row>
    <row r="254" spans="1:10" ht="31.5" x14ac:dyDescent="0.25">
      <c r="A254" s="246" t="s">
        <v>1</v>
      </c>
      <c r="B254" s="246" t="s">
        <v>2</v>
      </c>
      <c r="C254" s="386" t="s">
        <v>346</v>
      </c>
      <c r="D254" s="396"/>
      <c r="E254" s="246" t="s">
        <v>15</v>
      </c>
      <c r="F254" s="246" t="s">
        <v>16</v>
      </c>
      <c r="G254" s="246" t="s">
        <v>18</v>
      </c>
      <c r="H254" s="246" t="s">
        <v>19</v>
      </c>
      <c r="I254" s="246" t="s">
        <v>19</v>
      </c>
      <c r="J254" s="246" t="s">
        <v>20</v>
      </c>
    </row>
    <row r="255" spans="1:10" ht="15.75" x14ac:dyDescent="0.25">
      <c r="A255" s="375" t="s">
        <v>62</v>
      </c>
      <c r="B255" s="376" t="s">
        <v>168</v>
      </c>
      <c r="C255" s="108" t="s">
        <v>217</v>
      </c>
      <c r="D255" s="107"/>
      <c r="E255" s="106"/>
      <c r="F255" s="204" t="str">
        <f>IF(E255="","",IF(E255&gt;81,0,IF(E255&lt;=30,1,ROUND(IF(E255&gt;55,'Reference Standards'!C$14*E255+'Reference Standards'!C$15,'Reference Standards'!D$14*E255+'Reference Standards'!D$15),2))))</f>
        <v/>
      </c>
      <c r="G255" s="415" t="str">
        <f>IFERROR(AVERAGE(F255:F256),"")</f>
        <v/>
      </c>
      <c r="H255" s="415" t="str">
        <f>IFERROR(ROUND(AVERAGE(G255),2),"")</f>
        <v/>
      </c>
      <c r="I255" s="364" t="str">
        <f>IF(H255="","",IF(H255&gt;0.69,"Functioning",IF(H255&gt;0.29,"Functioning At Risk",IF(H255&gt;-1,"Not Functioning"))))</f>
        <v/>
      </c>
      <c r="J255" s="421" t="str">
        <f>IF(AND(H255="",H257="",H259="",H272="",H276=""),"",ROUND((IF(H255="",0,H255)*0.2)+(IF(H257="",0,H257)*0.2)+(IF(H259="",0,H259)*0.2)+(IF(H272="",0,H272)*0.2)+(IF(H276="",0,H276)*0.2),2))</f>
        <v/>
      </c>
    </row>
    <row r="256" spans="1:10" ht="15.75" x14ac:dyDescent="0.25">
      <c r="A256" s="375"/>
      <c r="B256" s="377"/>
      <c r="C256" s="109" t="s">
        <v>338</v>
      </c>
      <c r="D256" s="54"/>
      <c r="E256" s="124"/>
      <c r="F256" s="205" t="str">
        <f>IF(E256="","",IF(E256&gt;=3.33,0,IF(E256=0,1,ROUND('Reference Standards'!C$47*E256+'Reference Standards'!C$48,2))))</f>
        <v/>
      </c>
      <c r="G256" s="416"/>
      <c r="H256" s="417"/>
      <c r="I256" s="365"/>
      <c r="J256" s="422"/>
    </row>
    <row r="257" spans="1:10" ht="15.75" x14ac:dyDescent="0.25">
      <c r="A257" s="372" t="s">
        <v>6</v>
      </c>
      <c r="B257" s="374" t="s">
        <v>7</v>
      </c>
      <c r="C257" s="55" t="s">
        <v>8</v>
      </c>
      <c r="D257" s="166"/>
      <c r="E257" s="123"/>
      <c r="F257" s="206" t="str">
        <f>IF(E257="","",ROUND(IF(E257&gt;=1.714,0,    IF(E257&lt;=1,1,E257*'Reference Standards'!$L$13+'Reference Standards'!$L$14)),2))</f>
        <v/>
      </c>
      <c r="G257" s="411" t="str">
        <f>IFERROR(AVERAGE(F257:F258),"")</f>
        <v/>
      </c>
      <c r="H257" s="411" t="str">
        <f>IFERROR(ROUND(AVERAGE(G257),2),"")</f>
        <v/>
      </c>
      <c r="I257" s="364" t="str">
        <f>IF(H257="","",IF(H257&gt;0.69,"Functioning",IF(H257&gt;0.29,"Functioning At Risk",IF(H257&gt;-1,"Not Functioning"))))</f>
        <v/>
      </c>
      <c r="J257" s="422"/>
    </row>
    <row r="258" spans="1:10" ht="15.75" x14ac:dyDescent="0.25">
      <c r="A258" s="373"/>
      <c r="B258" s="373"/>
      <c r="C258" s="164" t="s">
        <v>9</v>
      </c>
      <c r="D258" s="165"/>
      <c r="E258" s="124"/>
      <c r="F258" s="207" t="str">
        <f>IF(E258="","",IF(OR('Quantification Tool'!$B$9="A",'Quantification Tool'!$B$9="B", 'Quantification Tool'!$B$9="Bc"),IF(E258&lt;=1.05,0,IF(E258&gt;=2.2,1,ROUND(IF(E258&lt;1.4,E258*'Reference Standards'!$L$83+'Reference Standards'!$L$84,E258*'Reference Standards'!$M$83+'Reference Standards'!$M$84),2))),IF(OR('Quantification Tool'!$B$9="C",'Quantification Tool'!$B$9="E"),IF(E258&lt;1.7,0,IF(E258&gt;=5,1,ROUND(IF(E258&lt;2.4,E258*'Reference Standards'!$M$48+'Reference Standards'!$M$49,E258*'Reference Standards'!$L$48+'Reference Standards'!$L$49),2))))))</f>
        <v/>
      </c>
      <c r="G258" s="412"/>
      <c r="H258" s="412"/>
      <c r="I258" s="365"/>
      <c r="J258" s="422"/>
    </row>
    <row r="259" spans="1:10" ht="15.75" customHeight="1" x14ac:dyDescent="0.25">
      <c r="A259" s="366" t="s">
        <v>27</v>
      </c>
      <c r="B259" s="265" t="s">
        <v>28</v>
      </c>
      <c r="C259" s="266" t="s">
        <v>24</v>
      </c>
      <c r="D259" s="267"/>
      <c r="E259" s="47"/>
      <c r="F259" s="77" t="str">
        <f>IF(E259="","",IF(E259&gt;=2825,1,IF(E259&lt;=0,0, ROUND(IF(E259&lt;1350,E259*'Reference Standards'!$U$13+'Reference Standards'!$U$14,E259*'Reference Standards'!$V$13+'Reference Standards'!$V$14),2))))</f>
        <v/>
      </c>
      <c r="G259" s="262" t="str">
        <f>IFERROR(AVERAGE(F259:F259),"")</f>
        <v/>
      </c>
      <c r="H259" s="369" t="str">
        <f>IFERROR(ROUND(AVERAGE(G259:G271),2),"")</f>
        <v/>
      </c>
      <c r="I259" s="364" t="str">
        <f>IF(H259="","",IF(H259&gt;0.69,"Functioning",IF(H259&gt;0.29,"Functioning At Risk",IF(H259&gt;-1,"Not Functioning"))))</f>
        <v/>
      </c>
      <c r="J259" s="422"/>
    </row>
    <row r="260" spans="1:10" ht="15.75" x14ac:dyDescent="0.25">
      <c r="A260" s="367"/>
      <c r="B260" s="366" t="s">
        <v>241</v>
      </c>
      <c r="C260" s="56" t="s">
        <v>51</v>
      </c>
      <c r="D260" s="56"/>
      <c r="E260" s="305"/>
      <c r="F260" s="225" t="str">
        <f>IF(E260="","",IF(OR(E260="Ex/Ex",E260="Ex/VH",E260="Ex/H",E260="Ex/M",E260="VH/Ex",E260="VH/VH", E260="H/Ex",E260="H/VH"),0, IF(OR(E260="M/Ex"),0.1,IF(OR(E260="VH/H",E260="VH/M",E260="H/H",E260="H/M", E260="M/VH"),0.2, IF(OR(E260="Ex/VL",E260="Ex/L", E260="M/H"),0.3, IF(OR(E260="VH/L",E260="H/L"),0.4, IF(OR(E260="VH/VL",E260="H/VL",E260="M/M"),0.5, IF(OR(E260="M/L",E260="L/Ex"),0.6, IF(OR(E260="M/VL",E260="L/VH", E260="L/H",E260="L/M",E260="L/L",E260="L/VL", LEFT(E260,2)="VL"),1)))))))))</f>
        <v/>
      </c>
      <c r="G260" s="418" t="str">
        <f>IFERROR(AVERAGE(F260:F262),"")</f>
        <v/>
      </c>
      <c r="H260" s="370"/>
      <c r="I260" s="424"/>
      <c r="J260" s="422"/>
    </row>
    <row r="261" spans="1:10" ht="15.75" x14ac:dyDescent="0.25">
      <c r="A261" s="367"/>
      <c r="B261" s="367"/>
      <c r="C261" s="57" t="s">
        <v>108</v>
      </c>
      <c r="D261" s="57"/>
      <c r="E261" s="123"/>
      <c r="F261" s="77" t="str">
        <f>IF(E261="","",ROUND(IF(E261&gt;=75,0,IF(E261&lt;=5,1,IF(E261&gt;10,E261*'Reference Standards'!U$48+'Reference Standards'!U$49,E261*'Reference Standards'!V$48+'Reference Standards'!V$49 ))),2))</f>
        <v/>
      </c>
      <c r="G261" s="418"/>
      <c r="H261" s="370"/>
      <c r="I261" s="424"/>
      <c r="J261" s="422"/>
    </row>
    <row r="262" spans="1:10" s="251" customFormat="1" ht="15.75" x14ac:dyDescent="0.25">
      <c r="A262" s="367"/>
      <c r="B262" s="368"/>
      <c r="C262" s="56" t="s">
        <v>336</v>
      </c>
      <c r="D262" s="56"/>
      <c r="E262" s="124"/>
      <c r="F262" s="208" t="str">
        <f>IF(E262="","",IF(E262&gt;=30,0,IF(E262&lt;=0,1,ROUND(E262*'Reference Standards'!$U$81+'Reference Standards'!$U$82,2))))</f>
        <v/>
      </c>
      <c r="G262" s="418"/>
      <c r="H262" s="370"/>
      <c r="I262" s="424"/>
      <c r="J262" s="422"/>
    </row>
    <row r="263" spans="1:10" ht="15.75" customHeight="1" x14ac:dyDescent="0.25">
      <c r="A263" s="367"/>
      <c r="B263" s="366" t="s">
        <v>52</v>
      </c>
      <c r="C263" s="58" t="s">
        <v>335</v>
      </c>
      <c r="D263" s="61"/>
      <c r="E263" s="106"/>
      <c r="F263" s="77" t="str">
        <f>IF(E263="","",IF(E263&gt;=150,1,IF(E263&lt;=0,0,ROUND(E263^2*'Reference Standards'!$U$115+E263*'Reference Standards'!$U$116+'Reference Standards'!$U$117,2))))</f>
        <v/>
      </c>
      <c r="G263" s="369" t="str">
        <f>IFERROR(AVERAGE(F263:F267),"")</f>
        <v/>
      </c>
      <c r="H263" s="370"/>
      <c r="I263" s="424"/>
      <c r="J263" s="422"/>
    </row>
    <row r="264" spans="1:10" ht="15.75" customHeight="1" x14ac:dyDescent="0.25">
      <c r="A264" s="367"/>
      <c r="B264" s="367"/>
      <c r="C264" s="59" t="s">
        <v>355</v>
      </c>
      <c r="D264" s="56"/>
      <c r="E264" s="149"/>
      <c r="F264" s="77" t="str">
        <f>IF(E264="","",IF('Quantification Tool'!$B$20="Forested",IF(E264&gt;=12,1,IF(E264&lt;=0,0,ROUND(E264*'Reference Standards'!$U$149+'Reference Standards'!$U$150,2)))))</f>
        <v/>
      </c>
      <c r="G264" s="370"/>
      <c r="H264" s="370"/>
      <c r="I264" s="424"/>
      <c r="J264" s="422"/>
    </row>
    <row r="265" spans="1:10" ht="15" customHeight="1" x14ac:dyDescent="0.25">
      <c r="A265" s="367"/>
      <c r="B265" s="367"/>
      <c r="C265" s="59" t="s">
        <v>356</v>
      </c>
      <c r="D265" s="56"/>
      <c r="E265" s="123"/>
      <c r="F265" s="77" t="str">
        <f>IF(E265="","",IF('Quantification Tool'!$B$20="Forested",IF(AND(E265&gt;=95,E265&lt;=200),1,IF(E265&lt;=0,0,IF(E265&gt;=300,0.5,IF(E265&lt;100,ROUND(E265*'Reference Standards'!$U$184+'Reference Standards'!$U$185,2),ROUND(E265*'Reference Standards'!$V$184+'Reference Standards'!$V$185,2)))))))</f>
        <v/>
      </c>
      <c r="G265" s="370"/>
      <c r="H265" s="370"/>
      <c r="I265" s="424"/>
      <c r="J265" s="422"/>
    </row>
    <row r="266" spans="1:10" ht="15" customHeight="1" x14ac:dyDescent="0.25">
      <c r="A266" s="367"/>
      <c r="B266" s="367"/>
      <c r="C266" s="59" t="s">
        <v>391</v>
      </c>
      <c r="D266" s="200"/>
      <c r="E266" s="123"/>
      <c r="F266" s="77" t="str">
        <f>IF(E266="","",IF('Quantification Tool'!$B$20="Forested",IF(E266&gt;=100,1,ROUND(E266*'Reference Standards'!$U$219+'Reference Standards'!$U$220,2)),IF('Quantification Tool'!$B$20="Scrub-shrub",IF(E266&gt;=470,1,ROUND(E266*'Reference Standards'!$V$219+'Reference Standards'!$V$220,2)))))</f>
        <v/>
      </c>
      <c r="G266" s="370"/>
      <c r="H266" s="370"/>
      <c r="I266" s="424"/>
      <c r="J266" s="422"/>
    </row>
    <row r="267" spans="1:10" ht="15" customHeight="1" x14ac:dyDescent="0.25">
      <c r="A267" s="367"/>
      <c r="B267" s="367"/>
      <c r="C267" s="60" t="s">
        <v>354</v>
      </c>
      <c r="D267" s="62"/>
      <c r="E267" s="123"/>
      <c r="F267" s="77" t="str">
        <f>IF(E267="","",IF('Quantification Tool'!$B$20="Herbaceous",IF(E267&gt;=80,1,IF(E267&lt;=0,0,ROUND(E267*'Reference Standards'!$U$251+'Reference Standards'!$U$252,2)))))</f>
        <v/>
      </c>
      <c r="G267" s="370"/>
      <c r="H267" s="370"/>
      <c r="I267" s="424"/>
      <c r="J267" s="422"/>
    </row>
    <row r="268" spans="1:10" ht="15" customHeight="1" x14ac:dyDescent="0.25">
      <c r="A268" s="367"/>
      <c r="B268" s="366" t="s">
        <v>53</v>
      </c>
      <c r="C268" s="61" t="s">
        <v>54</v>
      </c>
      <c r="D268" s="61"/>
      <c r="E268" s="150"/>
      <c r="F268" s="209" t="str">
        <f>IF(E268="","",IF(OR('Quantification Tool'!$B$9="C",'Quantification Tool'!$B$9="E"),ROUND(IF(OR(E268&lt;=1,E268&gt;=9),0,IF(AND(E268&gt;=3.5,E268&lt;=6),1,IF(E268&lt;3.5,E268*'Reference Standards'!$U$289+'Reference Standards'!$U$290,E268*'Reference Standards'!$V$289+'Reference Standards'!$V$290))),2),IF(OR('Quantification Tool'!$B$9="A",'Quantification Tool'!$B$9="B"),ROUND(IF(OR(E268&gt;=6.5,E268=0),0,IF(E268&lt;=4,1,E268^2*'Reference Standards'!$U$320+E268*'Reference Standards'!$U$321+'Reference Standards'!$U$322)),2),IF('Quantification Tool'!$B$9="Bc",ROUND(IF(E268&gt;=8,0,IF(E268&lt;=5,1,E268^2*'Reference Standards'!$U$352+E268*'Reference Standards'!$U$353+'Reference Standards'!$U$354)),2)))))</f>
        <v/>
      </c>
      <c r="G268" s="462" t="str">
        <f>IFERROR(AVERAGE(F268:F271),"")</f>
        <v/>
      </c>
      <c r="H268" s="370"/>
      <c r="I268" s="424"/>
      <c r="J268" s="422"/>
    </row>
    <row r="269" spans="1:10" ht="15.75" x14ac:dyDescent="0.25">
      <c r="A269" s="367"/>
      <c r="B269" s="367"/>
      <c r="C269" s="56" t="s">
        <v>55</v>
      </c>
      <c r="D269" s="56"/>
      <c r="E269" s="149"/>
      <c r="F269" s="77" t="str">
        <f>IF(E269="","", ROUND(  IF(E269&lt;=1.1,0, IF(E269&gt;=3,1, IF(E269&lt;2, E269^2*'Reference Standards'!$U$387+  E269*'Reference Standards'!$U$388 + 'Reference Standards'!$U$389,     E269^2*'Reference Standards'!$V$387+  E269*'Reference Standards'!$V$388 + 'Reference Standards'!$V$389))),2))</f>
        <v/>
      </c>
      <c r="G269" s="461"/>
      <c r="H269" s="370"/>
      <c r="I269" s="424"/>
      <c r="J269" s="422"/>
    </row>
    <row r="270" spans="1:10" ht="15.75" x14ac:dyDescent="0.25">
      <c r="A270" s="367"/>
      <c r="B270" s="367"/>
      <c r="C270" s="56" t="s">
        <v>337</v>
      </c>
      <c r="D270" s="56"/>
      <c r="E270" s="149"/>
      <c r="F270" s="210" t="str">
        <f>IF(E270="","", IF(OR('Quantification Tool'!$B$9="A",LEFT('Quantification Tool'!$B$9,1)="B"), ROUND(IF(OR(E270&lt;=20,E270&gt;=90),0,IF(AND(E270&gt;=50,E270&lt;=60),1,IF(E270&lt;50, E270*'Reference Standards'!$U$422+'Reference Standards'!$U$423, E270*'Reference Standards'!$V$422+'Reference Standards'!$V$423))),2),   IF(OR('Quantification Tool'!$B$9="C",'Quantification Tool'!$B$9="E"), ROUND(IF(OR(E270&lt;=20,E270&gt;=85),0, IF(AND(E270&lt;=65,E270&gt;=45), 1, IF(E270&lt;45, E270*'Reference Standards'!$U$457+'Reference Standards'!$U$458,E270*'Reference Standards'!$V$457+'Reference Standards'!$V$458 ))),2)   )  ))</f>
        <v/>
      </c>
      <c r="G270" s="461"/>
      <c r="H270" s="370"/>
      <c r="I270" s="424"/>
      <c r="J270" s="422"/>
    </row>
    <row r="271" spans="1:10" ht="15.75" x14ac:dyDescent="0.25">
      <c r="A271" s="368"/>
      <c r="B271" s="368"/>
      <c r="C271" s="62" t="s">
        <v>180</v>
      </c>
      <c r="D271" s="62"/>
      <c r="E271" s="151"/>
      <c r="F271" s="299" t="str">
        <f>IF(E271="","",IF(E271&gt;=1.6,0,IF(E271&lt;=1,1,ROUND('Reference Standards'!$U$489*E271^3+'Reference Standards'!$U$490*E271^2+'Reference Standards'!$U$491*E271+'Reference Standards'!$U$492,2))))</f>
        <v/>
      </c>
      <c r="G271" s="463"/>
      <c r="H271" s="371"/>
      <c r="I271" s="365"/>
      <c r="J271" s="422"/>
    </row>
    <row r="272" spans="1:10" ht="15.75" x14ac:dyDescent="0.25">
      <c r="A272" s="361" t="s">
        <v>59</v>
      </c>
      <c r="B272" s="231" t="s">
        <v>94</v>
      </c>
      <c r="C272" s="63" t="s">
        <v>245</v>
      </c>
      <c r="D272" s="63"/>
      <c r="E272" s="47"/>
      <c r="F272" s="79" t="str">
        <f>IF(E272="","",IF('Quantification Tool'!$B$18="Coldwater",
ROUND(IF(E272&gt;=69.3,0,
IF(E272&lt;=59,1,E272*'Reference Standards'!$AD$16+'Reference Standards'!$AD$17)),2),                                   IF('Quantification Tool'!$B$18="Cold-transitional",
ROUND(IF(E272&gt;=71.38,0,
IF(E272&lt;=66.2,1,E272*'Reference Standards'!$AE$16+'Reference Standards'!$AE$17)),2),                                  IF(LEFT('Quantification Tool'!$B$18,1)="W",
ROUND(IF(E272&gt;=82.6,0,
IF(E272&lt;=69.8,1,
E272*'Reference Standards'!$AF$16+'Reference Standards'!$AF$17)),2)))))</f>
        <v/>
      </c>
      <c r="G272" s="78" t="str">
        <f>IFERROR(AVERAGE(F272),"")</f>
        <v/>
      </c>
      <c r="H272" s="359" t="str">
        <f>IFERROR(ROUND(AVERAGE(G272:G275),2),"")</f>
        <v/>
      </c>
      <c r="I272" s="360" t="str">
        <f>IF(H272="","",IF(H272&gt;0.69,"Functioning",IF(H272&gt;0.29,"Functioning At Risk",IF(H272&gt;-1,"Not Functioning"))))</f>
        <v/>
      </c>
      <c r="J272" s="422"/>
    </row>
    <row r="273" spans="1:10" ht="15.75" x14ac:dyDescent="0.25">
      <c r="A273" s="362"/>
      <c r="B273" s="64" t="s">
        <v>109</v>
      </c>
      <c r="C273" s="94" t="s">
        <v>386</v>
      </c>
      <c r="D273" s="65"/>
      <c r="E273" s="123"/>
      <c r="F273" s="211" t="str">
        <f>IF(E273="","",ROUND(IF(E273&gt;=4500,0,IF(E273&lt;=10,1, IF(E273&lt;1000, E273^2*'Reference Standards'!$AD$49+E273*'Reference Standards'!$AD$50+'Reference Standards'!$AD$51,E273^2*'Reference Standards'!$AE$49+E273*'Reference Standards'!$AE$50+'Reference Standards'!$AE$51))),2))</f>
        <v/>
      </c>
      <c r="G273" s="78" t="str">
        <f>IFERROR(AVERAGE(F273),"")</f>
        <v/>
      </c>
      <c r="H273" s="359"/>
      <c r="I273" s="360"/>
      <c r="J273" s="422"/>
    </row>
    <row r="274" spans="1:10" ht="15.75" x14ac:dyDescent="0.25">
      <c r="A274" s="362"/>
      <c r="B274" s="168" t="s">
        <v>246</v>
      </c>
      <c r="C274" s="168" t="s">
        <v>277</v>
      </c>
      <c r="D274" s="137"/>
      <c r="E274" s="169"/>
      <c r="F274" s="212" t="str">
        <f>IF(E274="","",  IF(OR('Quantification Tool'!$B$14="Northern Lakes and Forests",'Quantification Tool'!$B$14="North Central Hardwood Forests"), ROUND(IF(E274&gt;=151,0, IF(E274&lt;=3.9,1, IF(E274&lt;=12, E274*'Reference Standards'!$AD$86+'Reference Standards'!$AD$87,IF(E274&lt;50,E274*'Reference Standards'!$AE$86+'Reference Standards'!$AE$87, E274*'Reference Standards'!$AF$86+'Reference Standards'!$AF$87)))),2),
IF(OR('Quantification Tool'!$B$14="Southern Michigan/Northern Indiana Drift Plains"), ROUND(IF(E274&gt;=186,0, IF(E274&lt;=12.5,1, IF(E274&lt;=30, E274*'Reference Standards'!$AG$86+'Reference Standards'!$AG$87,IF(E274&lt;90,E274*'Reference Standards'!$AH$86+'Reference Standards'!$AH$87,E274*'Reference Standards'!$AI$86+'Reference Standards'!$AI$87)))),2),
IF(OR('Quantification Tool'!$B$14="Huron Erie Lake Plains",'Quantification Tool'!$B$14="Eastern Corn Belt Plains"), ROUND(IF(E274&gt;=550,0, IF(E274&lt;=29,1, IF(E274&lt;=70, E274*'Reference Standards'!$AD$118+'Reference Standards'!$AD$119,IF(E274&lt;160,  E274*'Reference Standards'!$AE$118+'Reference Standards'!$AE$119,   E274*'Reference Standards'!$AF$118+'Reference Standards'!$AF$119)))),2)))    ))</f>
        <v/>
      </c>
      <c r="G274" s="79" t="str">
        <f>IFERROR(AVERAGE(F274),"")</f>
        <v/>
      </c>
      <c r="H274" s="359"/>
      <c r="I274" s="360"/>
      <c r="J274" s="422"/>
    </row>
    <row r="275" spans="1:10" ht="15.75" x14ac:dyDescent="0.25">
      <c r="A275" s="363"/>
      <c r="B275" s="232" t="s">
        <v>247</v>
      </c>
      <c r="C275" s="240" t="s">
        <v>387</v>
      </c>
      <c r="D275" s="244"/>
      <c r="E275" s="106"/>
      <c r="F275" s="212" t="str">
        <f>IF(E275="","",          IF(LEFT('Quantification Tool'!$B$18,1)="C",
ROUND(IF(E275&lt;=5.25,0,
IF(E275&gt;=7.75,1,E275*'Reference Standards'!$AD$152+'Reference Standards'!$AD$153)),2), IF(LEFT('Quantification Tool'!$B$18,1)="W",
ROUND(IF(E275&lt;=3.25,0,
IF(E275&gt;=5.75,1,
E275*'Reference Standards'!$AE$152+'Reference Standards'!$AE$153)),2))))</f>
        <v/>
      </c>
      <c r="G275" s="80" t="str">
        <f>IFERROR(AVERAGE(F275),"")</f>
        <v/>
      </c>
      <c r="H275" s="359"/>
      <c r="I275" s="360"/>
      <c r="J275" s="422"/>
    </row>
    <row r="276" spans="1:10" ht="15.75" x14ac:dyDescent="0.25">
      <c r="A276" s="380" t="s">
        <v>60</v>
      </c>
      <c r="B276" s="378" t="s">
        <v>249</v>
      </c>
      <c r="C276" s="99" t="s">
        <v>388</v>
      </c>
      <c r="D276" s="100"/>
      <c r="E276" s="150"/>
      <c r="F276" s="213" t="str">
        <f>IF(E276="","",IF('Quantification Tool'!$B$19="Wadeable",IF(E276&lt;=-9,0,IF(E276&gt;=9,1,ROUND(E276*'Reference Standards'!AM$13+'Reference Standards'!AM$14,2))) ))</f>
        <v/>
      </c>
      <c r="G276" s="408" t="str">
        <f>IFERROR(AVERAGE(F276:F277),"")</f>
        <v/>
      </c>
      <c r="H276" s="414" t="str">
        <f>IFERROR(ROUND(AVERAGE(G276:G278),2),"")</f>
        <v/>
      </c>
      <c r="I276" s="360" t="str">
        <f>IF(H276="","",IF(H276&gt;0.69,"Functioning",IF(H276&gt;0.29,"Functioning At Risk",IF(H276&gt;-1,"Not Functioning"))))</f>
        <v/>
      </c>
      <c r="J276" s="422"/>
    </row>
    <row r="277" spans="1:10" ht="15.75" x14ac:dyDescent="0.25">
      <c r="A277" s="381"/>
      <c r="B277" s="379"/>
      <c r="C277" s="101" t="s">
        <v>389</v>
      </c>
      <c r="D277" s="66"/>
      <c r="E277" s="151"/>
      <c r="F277" s="81" t="str">
        <f>IF(E277="","", IF('Quantification Tool'!$B$19="Non-wadeable",IF(E277&lt;=0,0, IF(E277&gt;=100,1, ROUND( E277*'Reference Standards'!AM$46+'Reference Standards'!AM$47,2)))))</f>
        <v/>
      </c>
      <c r="G277" s="409"/>
      <c r="H277" s="414"/>
      <c r="I277" s="360"/>
      <c r="J277" s="422"/>
    </row>
    <row r="278" spans="1:10" ht="15.75" x14ac:dyDescent="0.25">
      <c r="A278" s="382"/>
      <c r="B278" s="233" t="s">
        <v>84</v>
      </c>
      <c r="C278" s="66" t="s">
        <v>390</v>
      </c>
      <c r="D278" s="66"/>
      <c r="E278" s="124"/>
      <c r="F278" s="214" t="str">
        <f>IF(E278="","",IF(AND('Quantification Tool'!$B$19="Wadeable",OR('Quantification Tool'!$B$18="Warm",'Quantification Tool'!$B$18="Warm-transitional")),IF(E278&lt;=-10,0,IF(E278&gt;=10,1,ROUND(E278*'Reference Standards'!$AM$80+'Reference Standards'!$AM$81,2)))))</f>
        <v/>
      </c>
      <c r="G278" s="81" t="str">
        <f>IFERROR(AVERAGE(F278),"")</f>
        <v/>
      </c>
      <c r="H278" s="414"/>
      <c r="I278" s="360"/>
      <c r="J278" s="423"/>
    </row>
    <row r="281" spans="1:10" ht="21" x14ac:dyDescent="0.35">
      <c r="A281" s="128" t="s">
        <v>182</v>
      </c>
      <c r="B281" s="129"/>
      <c r="C281" s="130" t="s">
        <v>183</v>
      </c>
      <c r="D281" s="129"/>
      <c r="E281" s="131"/>
      <c r="F281" s="132"/>
      <c r="G281" s="383" t="s">
        <v>17</v>
      </c>
      <c r="H281" s="384"/>
      <c r="I281" s="384"/>
      <c r="J281" s="385"/>
    </row>
    <row r="282" spans="1:10" ht="30.75" customHeight="1" x14ac:dyDescent="0.25">
      <c r="A282" s="246" t="s">
        <v>1</v>
      </c>
      <c r="B282" s="246" t="s">
        <v>2</v>
      </c>
      <c r="C282" s="386" t="s">
        <v>346</v>
      </c>
      <c r="D282" s="396"/>
      <c r="E282" s="246" t="s">
        <v>15</v>
      </c>
      <c r="F282" s="246" t="s">
        <v>16</v>
      </c>
      <c r="G282" s="246" t="s">
        <v>18</v>
      </c>
      <c r="H282" s="246" t="s">
        <v>19</v>
      </c>
      <c r="I282" s="246" t="s">
        <v>19</v>
      </c>
      <c r="J282" s="246" t="s">
        <v>20</v>
      </c>
    </row>
    <row r="283" spans="1:10" ht="15.75" customHeight="1" x14ac:dyDescent="0.25">
      <c r="A283" s="375" t="s">
        <v>62</v>
      </c>
      <c r="B283" s="376" t="s">
        <v>168</v>
      </c>
      <c r="C283" s="108" t="s">
        <v>217</v>
      </c>
      <c r="D283" s="107"/>
      <c r="E283" s="106"/>
      <c r="F283" s="204" t="str">
        <f>IF(E283="","",IF(E283&gt;81,0,IF(E283&lt;=30,1,ROUND(IF(E283&gt;55,'Reference Standards'!C$14*E283+'Reference Standards'!C$15,'Reference Standards'!D$14*E283+'Reference Standards'!D$15),2))))</f>
        <v/>
      </c>
      <c r="G283" s="415" t="str">
        <f>IFERROR(AVERAGE(F283:F284),"")</f>
        <v/>
      </c>
      <c r="H283" s="415" t="str">
        <f>IFERROR(ROUND(AVERAGE(G283),2),"")</f>
        <v/>
      </c>
      <c r="I283" s="364" t="str">
        <f>IF(H283="","",IF(H283&gt;0.69,"Functioning",IF(H283&gt;0.29,"Functioning At Risk",IF(H283&gt;-1,"Not Functioning"))))</f>
        <v/>
      </c>
      <c r="J283" s="421" t="str">
        <f>IF(AND(H283="",H285="",H287="",H300="",H304=""),"",ROUND((IF(H283="",0,H283)*0.2)+(IF(H285="",0,H285)*0.2)+(IF(H287="",0,H287)*0.2)+(IF(H300="",0,H300)*0.2)+(IF(H304="",0,H304)*0.2),2))</f>
        <v/>
      </c>
    </row>
    <row r="284" spans="1:10" ht="15.75" customHeight="1" x14ac:dyDescent="0.25">
      <c r="A284" s="375"/>
      <c r="B284" s="377"/>
      <c r="C284" s="109" t="s">
        <v>338</v>
      </c>
      <c r="D284" s="54"/>
      <c r="E284" s="124"/>
      <c r="F284" s="205" t="str">
        <f>IF(E284="","",IF(E284&gt;=3.33,0,IF(E284=0,1,ROUND('Reference Standards'!C$47*E284+'Reference Standards'!C$48,2))))</f>
        <v/>
      </c>
      <c r="G284" s="416"/>
      <c r="H284" s="417"/>
      <c r="I284" s="365"/>
      <c r="J284" s="422"/>
    </row>
    <row r="285" spans="1:10" ht="15.75" x14ac:dyDescent="0.25">
      <c r="A285" s="372" t="s">
        <v>6</v>
      </c>
      <c r="B285" s="374" t="s">
        <v>7</v>
      </c>
      <c r="C285" s="55" t="s">
        <v>8</v>
      </c>
      <c r="D285" s="166"/>
      <c r="E285" s="123"/>
      <c r="F285" s="206" t="str">
        <f>IF(E285="","",ROUND(IF(E285&gt;=1.714,0,    IF(E285&lt;=1,1,E285*'Reference Standards'!$L$13+'Reference Standards'!$L$14)),2))</f>
        <v/>
      </c>
      <c r="G285" s="411" t="str">
        <f>IFERROR(AVERAGE(F285:F286),"")</f>
        <v/>
      </c>
      <c r="H285" s="411" t="str">
        <f>IFERROR(ROUND(AVERAGE(G285),2),"")</f>
        <v/>
      </c>
      <c r="I285" s="364" t="str">
        <f>IF(H285="","",IF(H285&gt;0.69,"Functioning",IF(H285&gt;0.29,"Functioning At Risk",IF(H285&gt;-1,"Not Functioning"))))</f>
        <v/>
      </c>
      <c r="J285" s="422"/>
    </row>
    <row r="286" spans="1:10" ht="15.75" x14ac:dyDescent="0.25">
      <c r="A286" s="373"/>
      <c r="B286" s="373"/>
      <c r="C286" s="164" t="s">
        <v>9</v>
      </c>
      <c r="D286" s="165"/>
      <c r="E286" s="124"/>
      <c r="F286" s="207" t="str">
        <f>IF(E286="","",IF(OR('Quantification Tool'!$B$9="A",'Quantification Tool'!$B$9="B", 'Quantification Tool'!$B$9="Bc"),IF(E286&lt;=1.05,0,IF(E286&gt;=2.2,1,ROUND(IF(E286&lt;1.4,E286*'Reference Standards'!$L$83+'Reference Standards'!$L$84,E286*'Reference Standards'!$M$83+'Reference Standards'!$M$84),2))),IF(OR('Quantification Tool'!$B$9="C",'Quantification Tool'!$B$9="E"),IF(E286&lt;1.7,0,IF(E286&gt;=5,1,ROUND(IF(E286&lt;2.4,E286*'Reference Standards'!$M$48+'Reference Standards'!$M$49,E286*'Reference Standards'!$L$48+'Reference Standards'!$L$49),2))))))</f>
        <v/>
      </c>
      <c r="G286" s="412"/>
      <c r="H286" s="412"/>
      <c r="I286" s="365"/>
      <c r="J286" s="422"/>
    </row>
    <row r="287" spans="1:10" ht="15.75" customHeight="1" x14ac:dyDescent="0.25">
      <c r="A287" s="366" t="s">
        <v>27</v>
      </c>
      <c r="B287" s="265" t="s">
        <v>28</v>
      </c>
      <c r="C287" s="266" t="s">
        <v>24</v>
      </c>
      <c r="D287" s="267"/>
      <c r="E287" s="47"/>
      <c r="F287" s="77" t="str">
        <f>IF(E287="","",IF(E287&gt;=2825,1,IF(E287&lt;=0,0, ROUND(IF(E287&lt;1350,E287*'Reference Standards'!$U$13+'Reference Standards'!$U$14,E287*'Reference Standards'!$V$13+'Reference Standards'!$V$14),2))))</f>
        <v/>
      </c>
      <c r="G287" s="262" t="str">
        <f>IFERROR(AVERAGE(F287:F287),"")</f>
        <v/>
      </c>
      <c r="H287" s="369" t="str">
        <f>IFERROR(ROUND(AVERAGE(G287:G299),2),"")</f>
        <v/>
      </c>
      <c r="I287" s="364" t="str">
        <f>IF(H287="","",IF(H287&gt;0.69,"Functioning",IF(H287&gt;0.29,"Functioning At Risk",IF(H287&gt;-1,"Not Functioning"))))</f>
        <v/>
      </c>
      <c r="J287" s="422"/>
    </row>
    <row r="288" spans="1:10" ht="15.75" x14ac:dyDescent="0.25">
      <c r="A288" s="367"/>
      <c r="B288" s="366" t="s">
        <v>241</v>
      </c>
      <c r="C288" s="56" t="s">
        <v>51</v>
      </c>
      <c r="D288" s="56"/>
      <c r="E288" s="305"/>
      <c r="F288" s="225" t="str">
        <f>IF(E288="","",IF(OR(E288="Ex/Ex",E288="Ex/VH",E288="Ex/H",E288="Ex/M",E288="VH/Ex",E288="VH/VH", E288="H/Ex",E288="H/VH"),0, IF(OR(E288="M/Ex"),0.1,IF(OR(E288="VH/H",E288="VH/M",E288="H/H",E288="H/M", E288="M/VH"),0.2, IF(OR(E288="Ex/VL",E288="Ex/L", E288="M/H"),0.3, IF(OR(E288="VH/L",E288="H/L"),0.4, IF(OR(E288="VH/VL",E288="H/VL",E288="M/M"),0.5, IF(OR(E288="M/L",E288="L/Ex"),0.6, IF(OR(E288="M/VL",E288="L/VH", E288="L/H",E288="L/M",E288="L/L",E288="L/VL", LEFT(E288,2)="VL"),1)))))))))</f>
        <v/>
      </c>
      <c r="G288" s="418" t="str">
        <f>IFERROR(AVERAGE(F288:F290),"")</f>
        <v/>
      </c>
      <c r="H288" s="370"/>
      <c r="I288" s="424"/>
      <c r="J288" s="422"/>
    </row>
    <row r="289" spans="1:10" ht="15.75" x14ac:dyDescent="0.25">
      <c r="A289" s="367"/>
      <c r="B289" s="367"/>
      <c r="C289" s="57" t="s">
        <v>108</v>
      </c>
      <c r="D289" s="57"/>
      <c r="E289" s="123"/>
      <c r="F289" s="77" t="str">
        <f>IF(E289="","",ROUND(IF(E289&gt;=75,0,IF(E289&lt;=5,1,IF(E289&gt;10,E289*'Reference Standards'!U$48+'Reference Standards'!U$49,E289*'Reference Standards'!V$48+'Reference Standards'!V$49 ))),2))</f>
        <v/>
      </c>
      <c r="G289" s="418"/>
      <c r="H289" s="370"/>
      <c r="I289" s="424"/>
      <c r="J289" s="422"/>
    </row>
    <row r="290" spans="1:10" ht="15.75" x14ac:dyDescent="0.25">
      <c r="A290" s="367"/>
      <c r="B290" s="368"/>
      <c r="C290" s="56" t="s">
        <v>336</v>
      </c>
      <c r="D290" s="56"/>
      <c r="E290" s="124"/>
      <c r="F290" s="208" t="str">
        <f>IF(E290="","",IF(E290&gt;=30,0,IF(E290&lt;=0,1,ROUND(E290*'Reference Standards'!$U$81+'Reference Standards'!$U$82,2))))</f>
        <v/>
      </c>
      <c r="G290" s="418"/>
      <c r="H290" s="370"/>
      <c r="I290" s="424"/>
      <c r="J290" s="422"/>
    </row>
    <row r="291" spans="1:10" s="251" customFormat="1" ht="15.75" x14ac:dyDescent="0.25">
      <c r="A291" s="367"/>
      <c r="B291" s="366" t="s">
        <v>52</v>
      </c>
      <c r="C291" s="58" t="s">
        <v>335</v>
      </c>
      <c r="D291" s="61"/>
      <c r="E291" s="106"/>
      <c r="F291" s="77" t="str">
        <f>IF(E291="","",IF(E291&gt;=150,1,IF(E291&lt;=0,0,ROUND(E291^2*'Reference Standards'!$U$115+E291*'Reference Standards'!$U$116+'Reference Standards'!$U$117,2))))</f>
        <v/>
      </c>
      <c r="G291" s="369" t="str">
        <f>IFERROR(AVERAGE(F291:F295),"")</f>
        <v/>
      </c>
      <c r="H291" s="370"/>
      <c r="I291" s="424"/>
      <c r="J291" s="422"/>
    </row>
    <row r="292" spans="1:10" ht="15.75" customHeight="1" x14ac:dyDescent="0.25">
      <c r="A292" s="367"/>
      <c r="B292" s="367"/>
      <c r="C292" s="59" t="s">
        <v>355</v>
      </c>
      <c r="D292" s="56"/>
      <c r="E292" s="149"/>
      <c r="F292" s="77" t="str">
        <f>IF(E292="","",IF('Quantification Tool'!$B$20="Forested",IF(E292&gt;=12,1,IF(E292&lt;=0,0,ROUND(E292*'Reference Standards'!$U$149+'Reference Standards'!$U$150,2)))))</f>
        <v/>
      </c>
      <c r="G292" s="370"/>
      <c r="H292" s="370"/>
      <c r="I292" s="424"/>
      <c r="J292" s="422"/>
    </row>
    <row r="293" spans="1:10" ht="15.75" customHeight="1" x14ac:dyDescent="0.25">
      <c r="A293" s="367"/>
      <c r="B293" s="367"/>
      <c r="C293" s="59" t="s">
        <v>356</v>
      </c>
      <c r="D293" s="56"/>
      <c r="E293" s="123"/>
      <c r="F293" s="77" t="str">
        <f>IF(E293="","",IF('Quantification Tool'!$B$20="Forested",IF(AND(E293&gt;=95,E293&lt;=200),1,IF(E293&lt;=0,0,IF(E293&gt;=300,0.5,IF(E293&lt;100,ROUND(E293*'Reference Standards'!$U$184+'Reference Standards'!$U$185,2),ROUND(E293*'Reference Standards'!$V$184+'Reference Standards'!$V$185,2)))))))</f>
        <v/>
      </c>
      <c r="G293" s="370"/>
      <c r="H293" s="370"/>
      <c r="I293" s="424"/>
      <c r="J293" s="422"/>
    </row>
    <row r="294" spans="1:10" ht="15" customHeight="1" x14ac:dyDescent="0.25">
      <c r="A294" s="367"/>
      <c r="B294" s="367"/>
      <c r="C294" s="59" t="s">
        <v>391</v>
      </c>
      <c r="D294" s="200"/>
      <c r="E294" s="123"/>
      <c r="F294" s="77" t="str">
        <f>IF(E294="","",IF('Quantification Tool'!$B$20="Forested",IF(E294&gt;=100,1,ROUND(E294*'Reference Standards'!$U$219+'Reference Standards'!$U$220,2)),IF('Quantification Tool'!$B$20="Scrub-shrub",IF(E294&gt;=470,1,ROUND(E294*'Reference Standards'!$V$219+'Reference Standards'!$V$220,2)))))</f>
        <v/>
      </c>
      <c r="G294" s="370"/>
      <c r="H294" s="370"/>
      <c r="I294" s="424"/>
      <c r="J294" s="422"/>
    </row>
    <row r="295" spans="1:10" ht="15" customHeight="1" x14ac:dyDescent="0.25">
      <c r="A295" s="367"/>
      <c r="B295" s="367"/>
      <c r="C295" s="60" t="s">
        <v>354</v>
      </c>
      <c r="D295" s="62"/>
      <c r="E295" s="123"/>
      <c r="F295" s="77" t="str">
        <f>IF(E295="","",IF('Quantification Tool'!$B$20="Herbaceous",IF(E295&gt;=80,1,IF(E295&lt;=0,0,ROUND(E295*'Reference Standards'!$U$251+'Reference Standards'!$U$252,2)))))</f>
        <v/>
      </c>
      <c r="G295" s="370"/>
      <c r="H295" s="370"/>
      <c r="I295" s="424"/>
      <c r="J295" s="422"/>
    </row>
    <row r="296" spans="1:10" ht="15" customHeight="1" x14ac:dyDescent="0.25">
      <c r="A296" s="367"/>
      <c r="B296" s="366" t="s">
        <v>53</v>
      </c>
      <c r="C296" s="61" t="s">
        <v>54</v>
      </c>
      <c r="D296" s="61"/>
      <c r="E296" s="150"/>
      <c r="F296" s="209" t="str">
        <f>IF(E296="","",IF(OR('Quantification Tool'!$B$9="C",'Quantification Tool'!$B$9="E"),ROUND(IF(OR(E296&lt;=1,E296&gt;=9),0,IF(AND(E296&gt;=3.5,E296&lt;=6),1,IF(E296&lt;3.5,E296*'Reference Standards'!$U$289+'Reference Standards'!$U$290,E296*'Reference Standards'!$V$289+'Reference Standards'!$V$290))),2),IF(OR('Quantification Tool'!$B$9="A",'Quantification Tool'!$B$9="B"),ROUND(IF(OR(E296&gt;=6.5,E296=0),0,IF(E296&lt;=4,1,E296^2*'Reference Standards'!$U$320+E296*'Reference Standards'!$U$321+'Reference Standards'!$U$322)),2),IF('Quantification Tool'!$B$9="Bc",ROUND(IF(E296&gt;=8,0,IF(E296&lt;=5,1,E296^2*'Reference Standards'!$U$352+E296*'Reference Standards'!$U$353+'Reference Standards'!$U$354)),2)))))</f>
        <v/>
      </c>
      <c r="G296" s="462" t="str">
        <f>IFERROR(AVERAGE(F296:F299),"")</f>
        <v/>
      </c>
      <c r="H296" s="370"/>
      <c r="I296" s="424"/>
      <c r="J296" s="422"/>
    </row>
    <row r="297" spans="1:10" ht="15" customHeight="1" x14ac:dyDescent="0.25">
      <c r="A297" s="367"/>
      <c r="B297" s="367"/>
      <c r="C297" s="56" t="s">
        <v>55</v>
      </c>
      <c r="D297" s="56"/>
      <c r="E297" s="149"/>
      <c r="F297" s="77" t="str">
        <f>IF(E297="","", ROUND(  IF(E297&lt;=1.1,0, IF(E297&gt;=3,1, IF(E297&lt;2, E297^2*'Reference Standards'!$U$387+  E297*'Reference Standards'!$U$388 + 'Reference Standards'!$U$389,     E297^2*'Reference Standards'!$V$387+  E297*'Reference Standards'!$V$388 + 'Reference Standards'!$V$389))),2))</f>
        <v/>
      </c>
      <c r="G297" s="461"/>
      <c r="H297" s="370"/>
      <c r="I297" s="424"/>
      <c r="J297" s="422"/>
    </row>
    <row r="298" spans="1:10" ht="15.75" x14ac:dyDescent="0.25">
      <c r="A298" s="367"/>
      <c r="B298" s="367"/>
      <c r="C298" s="56" t="s">
        <v>337</v>
      </c>
      <c r="D298" s="56"/>
      <c r="E298" s="149"/>
      <c r="F298" s="210" t="str">
        <f>IF(E298="","", IF(OR('Quantification Tool'!$B$9="A",LEFT('Quantification Tool'!$B$9,1)="B"), ROUND(IF(OR(E298&lt;=20,E298&gt;=90),0,IF(AND(E298&gt;=50,E298&lt;=60),1,IF(E298&lt;50, E298*'Reference Standards'!$U$422+'Reference Standards'!$U$423, E298*'Reference Standards'!$V$422+'Reference Standards'!$V$423))),2),   IF(OR('Quantification Tool'!$B$9="C",'Quantification Tool'!$B$9="E"), ROUND(IF(OR(E298&lt;=20,E298&gt;=85),0, IF(AND(E298&lt;=65,E298&gt;=45), 1, IF(E298&lt;45, E298*'Reference Standards'!$U$457+'Reference Standards'!$U$458,E298*'Reference Standards'!$V$457+'Reference Standards'!$V$458 ))),2)   )  ))</f>
        <v/>
      </c>
      <c r="G298" s="461"/>
      <c r="H298" s="370"/>
      <c r="I298" s="424"/>
      <c r="J298" s="422"/>
    </row>
    <row r="299" spans="1:10" ht="15.75" x14ac:dyDescent="0.25">
      <c r="A299" s="368"/>
      <c r="B299" s="368"/>
      <c r="C299" s="62" t="s">
        <v>180</v>
      </c>
      <c r="D299" s="62"/>
      <c r="E299" s="151"/>
      <c r="F299" s="299" t="str">
        <f>IF(E299="","",IF(E299&gt;=1.6,0,IF(E299&lt;=1,1,ROUND('Reference Standards'!$U$489*E299^3+'Reference Standards'!$U$490*E299^2+'Reference Standards'!$U$491*E299+'Reference Standards'!$U$492,2))))</f>
        <v/>
      </c>
      <c r="G299" s="463"/>
      <c r="H299" s="371"/>
      <c r="I299" s="365"/>
      <c r="J299" s="422"/>
    </row>
    <row r="300" spans="1:10" ht="15.75" x14ac:dyDescent="0.25">
      <c r="A300" s="361" t="s">
        <v>59</v>
      </c>
      <c r="B300" s="231" t="s">
        <v>94</v>
      </c>
      <c r="C300" s="63" t="s">
        <v>245</v>
      </c>
      <c r="D300" s="63"/>
      <c r="E300" s="47"/>
      <c r="F300" s="79" t="str">
        <f>IF(E300="","",IF('Quantification Tool'!$B$18="Coldwater",
ROUND(IF(E300&gt;=69.3,0,
IF(E300&lt;=59,1,E300*'Reference Standards'!$AD$16+'Reference Standards'!$AD$17)),2),                                   IF('Quantification Tool'!$B$18="Cold-transitional",
ROUND(IF(E300&gt;=71.38,0,
IF(E300&lt;=66.2,1,E300*'Reference Standards'!$AE$16+'Reference Standards'!$AE$17)),2),                                  IF(LEFT('Quantification Tool'!$B$18,1)="W",
ROUND(IF(E300&gt;=82.6,0,
IF(E300&lt;=69.8,1,
E300*'Reference Standards'!$AF$16+'Reference Standards'!$AF$17)),2)))))</f>
        <v/>
      </c>
      <c r="G300" s="78" t="str">
        <f>IFERROR(AVERAGE(F300),"")</f>
        <v/>
      </c>
      <c r="H300" s="359" t="str">
        <f>IFERROR(ROUND(AVERAGE(G300:G303),2),"")</f>
        <v/>
      </c>
      <c r="I300" s="360" t="str">
        <f>IF(H300="","",IF(H300&gt;0.69,"Functioning",IF(H300&gt;0.29,"Functioning At Risk",IF(H300&gt;-1,"Not Functioning"))))</f>
        <v/>
      </c>
      <c r="J300" s="422"/>
    </row>
    <row r="301" spans="1:10" ht="15.75" x14ac:dyDescent="0.25">
      <c r="A301" s="362"/>
      <c r="B301" s="64" t="s">
        <v>109</v>
      </c>
      <c r="C301" s="94" t="s">
        <v>386</v>
      </c>
      <c r="D301" s="65"/>
      <c r="E301" s="123"/>
      <c r="F301" s="211" t="str">
        <f>IF(E301="","",ROUND(IF(E301&gt;=4500,0,IF(E301&lt;=10,1, IF(E301&lt;1000, E301^2*'Reference Standards'!$AD$49+E301*'Reference Standards'!$AD$50+'Reference Standards'!$AD$51,E301^2*'Reference Standards'!$AE$49+E301*'Reference Standards'!$AE$50+'Reference Standards'!$AE$51))),2))</f>
        <v/>
      </c>
      <c r="G301" s="78" t="str">
        <f>IFERROR(AVERAGE(F301),"")</f>
        <v/>
      </c>
      <c r="H301" s="359"/>
      <c r="I301" s="360"/>
      <c r="J301" s="422"/>
    </row>
    <row r="302" spans="1:10" ht="15.75" x14ac:dyDescent="0.25">
      <c r="A302" s="362"/>
      <c r="B302" s="168" t="s">
        <v>246</v>
      </c>
      <c r="C302" s="168" t="s">
        <v>277</v>
      </c>
      <c r="D302" s="137"/>
      <c r="E302" s="169"/>
      <c r="F302" s="212" t="str">
        <f>IF(E302="","",  IF(OR('Quantification Tool'!$B$14="Northern Lakes and Forests",'Quantification Tool'!$B$14="North Central Hardwood Forests"), ROUND(IF(E302&gt;=151,0, IF(E302&lt;=3.9,1, IF(E302&lt;=12, E302*'Reference Standards'!$AD$86+'Reference Standards'!$AD$87,IF(E302&lt;50,E302*'Reference Standards'!$AE$86+'Reference Standards'!$AE$87, E302*'Reference Standards'!$AF$86+'Reference Standards'!$AF$87)))),2),
IF(OR('Quantification Tool'!$B$14="Southern Michigan/Northern Indiana Drift Plains"), ROUND(IF(E302&gt;=186,0, IF(E302&lt;=12.5,1, IF(E302&lt;=30, E302*'Reference Standards'!$AG$86+'Reference Standards'!$AG$87,IF(E302&lt;90,E302*'Reference Standards'!$AH$86+'Reference Standards'!$AH$87,E302*'Reference Standards'!$AI$86+'Reference Standards'!$AI$87)))),2),
IF(OR('Quantification Tool'!$B$14="Huron Erie Lake Plains",'Quantification Tool'!$B$14="Eastern Corn Belt Plains"), ROUND(IF(E302&gt;=550,0, IF(E302&lt;=29,1, IF(E302&lt;=70, E302*'Reference Standards'!$AD$118+'Reference Standards'!$AD$119,IF(E302&lt;160,  E302*'Reference Standards'!$AE$118+'Reference Standards'!$AE$119,   E302*'Reference Standards'!$AF$118+'Reference Standards'!$AF$119)))),2)))    ))</f>
        <v/>
      </c>
      <c r="G302" s="79" t="str">
        <f>IFERROR(AVERAGE(F302),"")</f>
        <v/>
      </c>
      <c r="H302" s="359"/>
      <c r="I302" s="360"/>
      <c r="J302" s="422"/>
    </row>
    <row r="303" spans="1:10" ht="15.75" x14ac:dyDescent="0.25">
      <c r="A303" s="363"/>
      <c r="B303" s="232" t="s">
        <v>247</v>
      </c>
      <c r="C303" s="240" t="s">
        <v>387</v>
      </c>
      <c r="D303" s="244"/>
      <c r="E303" s="106"/>
      <c r="F303" s="212" t="str">
        <f>IF(E303="","",          IF(LEFT('Quantification Tool'!$B$18,1)="C",
ROUND(IF(E303&lt;=5.25,0,
IF(E303&gt;=7.75,1,E303*'Reference Standards'!$AD$152+'Reference Standards'!$AD$153)),2), IF(LEFT('Quantification Tool'!$B$18,1)="W",
ROUND(IF(E303&lt;=3.25,0,
IF(E303&gt;=5.75,1,
E303*'Reference Standards'!$AE$152+'Reference Standards'!$AE$153)),2))))</f>
        <v/>
      </c>
      <c r="G303" s="80" t="str">
        <f>IFERROR(AVERAGE(F303),"")</f>
        <v/>
      </c>
      <c r="H303" s="359"/>
      <c r="I303" s="360"/>
      <c r="J303" s="422"/>
    </row>
    <row r="304" spans="1:10" ht="15.75" x14ac:dyDescent="0.25">
      <c r="A304" s="380" t="s">
        <v>60</v>
      </c>
      <c r="B304" s="378" t="s">
        <v>249</v>
      </c>
      <c r="C304" s="99" t="s">
        <v>388</v>
      </c>
      <c r="D304" s="100"/>
      <c r="E304" s="150"/>
      <c r="F304" s="213" t="str">
        <f>IF(E304="","",IF('Quantification Tool'!$B$19="Wadeable",IF(E304&lt;=-9,0,IF(E304&gt;=9,1,ROUND(E304*'Reference Standards'!AM$13+'Reference Standards'!AM$14,2))) ))</f>
        <v/>
      </c>
      <c r="G304" s="408" t="str">
        <f>IFERROR(AVERAGE(F304:F305),"")</f>
        <v/>
      </c>
      <c r="H304" s="414" t="str">
        <f>IFERROR(ROUND(AVERAGE(G304:G306),2),"")</f>
        <v/>
      </c>
      <c r="I304" s="360" t="str">
        <f>IF(H304="","",IF(H304&gt;0.69,"Functioning",IF(H304&gt;0.29,"Functioning At Risk",IF(H304&gt;-1,"Not Functioning"))))</f>
        <v/>
      </c>
      <c r="J304" s="422"/>
    </row>
    <row r="305" spans="1:10" ht="15.75" x14ac:dyDescent="0.25">
      <c r="A305" s="381"/>
      <c r="B305" s="379"/>
      <c r="C305" s="101" t="s">
        <v>389</v>
      </c>
      <c r="D305" s="66"/>
      <c r="E305" s="151"/>
      <c r="F305" s="81" t="str">
        <f>IF(E305="","", IF('Quantification Tool'!$B$19="Non-wadeable",IF(E305&lt;=0,0, IF(E305&gt;=100,1, ROUND( E305*'Reference Standards'!AM$46+'Reference Standards'!AM$47,2)))))</f>
        <v/>
      </c>
      <c r="G305" s="409"/>
      <c r="H305" s="414"/>
      <c r="I305" s="360"/>
      <c r="J305" s="422"/>
    </row>
    <row r="306" spans="1:10" ht="15.75" x14ac:dyDescent="0.25">
      <c r="A306" s="382"/>
      <c r="B306" s="233" t="s">
        <v>84</v>
      </c>
      <c r="C306" s="66" t="s">
        <v>390</v>
      </c>
      <c r="D306" s="66"/>
      <c r="E306" s="124"/>
      <c r="F306" s="214" t="str">
        <f>IF(E306="","",IF(AND('Quantification Tool'!$B$19="Wadeable",OR('Quantification Tool'!$B$18="Warm",'Quantification Tool'!$B$18="Warm-transitional")),IF(E306&lt;=-10,0,IF(E306&gt;=10,1,ROUND(E306*'Reference Standards'!$AM$80+'Reference Standards'!$AM$81,2)))))</f>
        <v/>
      </c>
      <c r="G306" s="81" t="str">
        <f>IFERROR(AVERAGE(F306),"")</f>
        <v/>
      </c>
      <c r="H306" s="414"/>
      <c r="I306" s="360"/>
      <c r="J306" s="423"/>
    </row>
    <row r="311" spans="1:10" ht="16.5" customHeight="1" x14ac:dyDescent="0.25"/>
    <row r="312" spans="1:10" ht="15.75" customHeight="1" x14ac:dyDescent="0.25"/>
    <row r="313" spans="1:10" ht="15.75" customHeight="1" x14ac:dyDescent="0.25"/>
  </sheetData>
  <sheetProtection algorithmName="SHA-512" hashValue="JSZACQpBJO/iqNDOwMlsblOCDlBI+PRcFPY8JUFkKot5D9/Wy+Dt5DW+ohnOX0gFMo7LcQ9pB6B3fxUK6cFAqA==" saltValue="tHG3AKQtceoZwg7uF/6ghw==" spinCount="100000" sheet="1" objects="1" scenarios="1"/>
  <dataConsolidate/>
  <mergeCells count="331">
    <mergeCell ref="H283:H284"/>
    <mergeCell ref="I283:I284"/>
    <mergeCell ref="H248:H250"/>
    <mergeCell ref="I248:I250"/>
    <mergeCell ref="G253:J253"/>
    <mergeCell ref="C254:D254"/>
    <mergeCell ref="B276:B277"/>
    <mergeCell ref="G276:G277"/>
    <mergeCell ref="H276:H278"/>
    <mergeCell ref="I276:I278"/>
    <mergeCell ref="G281:J281"/>
    <mergeCell ref="C282:D282"/>
    <mergeCell ref="H255:H256"/>
    <mergeCell ref="I255:I256"/>
    <mergeCell ref="H272:H275"/>
    <mergeCell ref="I272:I275"/>
    <mergeCell ref="B248:B249"/>
    <mergeCell ref="B255:B256"/>
    <mergeCell ref="G255:G256"/>
    <mergeCell ref="B257:B258"/>
    <mergeCell ref="G257:G258"/>
    <mergeCell ref="H257:H258"/>
    <mergeCell ref="J283:J306"/>
    <mergeCell ref="I285:I286"/>
    <mergeCell ref="B288:B290"/>
    <mergeCell ref="G288:G290"/>
    <mergeCell ref="B291:B295"/>
    <mergeCell ref="G291:G295"/>
    <mergeCell ref="B296:B299"/>
    <mergeCell ref="G296:G299"/>
    <mergeCell ref="H300:H303"/>
    <mergeCell ref="I300:I303"/>
    <mergeCell ref="H287:H299"/>
    <mergeCell ref="I287:I299"/>
    <mergeCell ref="G225:J225"/>
    <mergeCell ref="C226:D226"/>
    <mergeCell ref="H220:H222"/>
    <mergeCell ref="B227:B228"/>
    <mergeCell ref="G227:G228"/>
    <mergeCell ref="B229:B230"/>
    <mergeCell ref="G229:G230"/>
    <mergeCell ref="H229:H230"/>
    <mergeCell ref="I229:I230"/>
    <mergeCell ref="B220:B221"/>
    <mergeCell ref="I188:I191"/>
    <mergeCell ref="G192:G193"/>
    <mergeCell ref="H192:H194"/>
    <mergeCell ref="I192:I194"/>
    <mergeCell ref="B184:B187"/>
    <mergeCell ref="B192:B193"/>
    <mergeCell ref="B179:B183"/>
    <mergeCell ref="H244:H247"/>
    <mergeCell ref="I244:I247"/>
    <mergeCell ref="H201:H202"/>
    <mergeCell ref="I201:I202"/>
    <mergeCell ref="B199:B200"/>
    <mergeCell ref="G199:G200"/>
    <mergeCell ref="B204:B206"/>
    <mergeCell ref="G204:G206"/>
    <mergeCell ref="B207:B211"/>
    <mergeCell ref="G207:G211"/>
    <mergeCell ref="G212:G215"/>
    <mergeCell ref="B212:B215"/>
    <mergeCell ref="B201:B202"/>
    <mergeCell ref="I220:I222"/>
    <mergeCell ref="H216:H219"/>
    <mergeCell ref="H227:H228"/>
    <mergeCell ref="I227:I228"/>
    <mergeCell ref="H171:H172"/>
    <mergeCell ref="I171:I172"/>
    <mergeCell ref="B171:B172"/>
    <mergeCell ref="G171:G172"/>
    <mergeCell ref="B173:B174"/>
    <mergeCell ref="G173:G174"/>
    <mergeCell ref="H173:H174"/>
    <mergeCell ref="I173:I174"/>
    <mergeCell ref="B176:B178"/>
    <mergeCell ref="G176:G178"/>
    <mergeCell ref="I145:I146"/>
    <mergeCell ref="B148:B150"/>
    <mergeCell ref="I160:I163"/>
    <mergeCell ref="G164:G165"/>
    <mergeCell ref="H164:H166"/>
    <mergeCell ref="I164:I166"/>
    <mergeCell ref="B151:B155"/>
    <mergeCell ref="H160:H163"/>
    <mergeCell ref="B156:B159"/>
    <mergeCell ref="G156:G159"/>
    <mergeCell ref="B164:B165"/>
    <mergeCell ref="B145:B146"/>
    <mergeCell ref="G145:G146"/>
    <mergeCell ref="B36:B38"/>
    <mergeCell ref="I48:I51"/>
    <mergeCell ref="H24:H26"/>
    <mergeCell ref="G52:G53"/>
    <mergeCell ref="H136:H138"/>
    <mergeCell ref="I136:I138"/>
    <mergeCell ref="G123:G127"/>
    <mergeCell ref="H132:H135"/>
    <mergeCell ref="B128:B131"/>
    <mergeCell ref="G128:G131"/>
    <mergeCell ref="B120:B122"/>
    <mergeCell ref="G120:G122"/>
    <mergeCell ref="B136:B137"/>
    <mergeCell ref="B123:B127"/>
    <mergeCell ref="G29:J29"/>
    <mergeCell ref="C30:D30"/>
    <mergeCell ref="H31:H32"/>
    <mergeCell ref="I31:I32"/>
    <mergeCell ref="B31:B32"/>
    <mergeCell ref="G31:G32"/>
    <mergeCell ref="B33:B34"/>
    <mergeCell ref="G33:G34"/>
    <mergeCell ref="H33:H34"/>
    <mergeCell ref="I33:I34"/>
    <mergeCell ref="B8:B10"/>
    <mergeCell ref="G8:G10"/>
    <mergeCell ref="I20:I23"/>
    <mergeCell ref="B24:B25"/>
    <mergeCell ref="A1:B1"/>
    <mergeCell ref="B16:B19"/>
    <mergeCell ref="G16:G19"/>
    <mergeCell ref="A24:A26"/>
    <mergeCell ref="B11:B15"/>
    <mergeCell ref="G11:G15"/>
    <mergeCell ref="A20:A23"/>
    <mergeCell ref="H20:H23"/>
    <mergeCell ref="G1:J1"/>
    <mergeCell ref="C2:D2"/>
    <mergeCell ref="A3:A4"/>
    <mergeCell ref="H3:H4"/>
    <mergeCell ref="I3:I4"/>
    <mergeCell ref="B3:B4"/>
    <mergeCell ref="G3:G4"/>
    <mergeCell ref="A5:A6"/>
    <mergeCell ref="B5:B6"/>
    <mergeCell ref="G5:G6"/>
    <mergeCell ref="H5:H6"/>
    <mergeCell ref="I5:I6"/>
    <mergeCell ref="B44:B47"/>
    <mergeCell ref="G44:G47"/>
    <mergeCell ref="G108:G109"/>
    <mergeCell ref="G115:G116"/>
    <mergeCell ref="G61:G62"/>
    <mergeCell ref="G57:J57"/>
    <mergeCell ref="C58:D58"/>
    <mergeCell ref="H59:H60"/>
    <mergeCell ref="I59:I60"/>
    <mergeCell ref="I61:I62"/>
    <mergeCell ref="H115:H116"/>
    <mergeCell ref="I115:I116"/>
    <mergeCell ref="B115:B116"/>
    <mergeCell ref="B80:B81"/>
    <mergeCell ref="H52:H54"/>
    <mergeCell ref="I52:I54"/>
    <mergeCell ref="H48:H51"/>
    <mergeCell ref="H61:H62"/>
    <mergeCell ref="B64:B66"/>
    <mergeCell ref="G64:G66"/>
    <mergeCell ref="B67:B71"/>
    <mergeCell ref="B59:B60"/>
    <mergeCell ref="B52:B53"/>
    <mergeCell ref="G59:G60"/>
    <mergeCell ref="G67:G71"/>
    <mergeCell ref="B61:B62"/>
    <mergeCell ref="B72:B75"/>
    <mergeCell ref="G72:G75"/>
    <mergeCell ref="H117:H118"/>
    <mergeCell ref="I117:I118"/>
    <mergeCell ref="C142:D142"/>
    <mergeCell ref="H143:H144"/>
    <mergeCell ref="I143:I144"/>
    <mergeCell ref="B143:B144"/>
    <mergeCell ref="G143:G144"/>
    <mergeCell ref="I104:I107"/>
    <mergeCell ref="B108:B109"/>
    <mergeCell ref="G113:J113"/>
    <mergeCell ref="C114:D114"/>
    <mergeCell ref="B117:B118"/>
    <mergeCell ref="G117:G118"/>
    <mergeCell ref="B87:B88"/>
    <mergeCell ref="G87:G88"/>
    <mergeCell ref="B89:B90"/>
    <mergeCell ref="G89:G90"/>
    <mergeCell ref="C86:D86"/>
    <mergeCell ref="B95:B99"/>
    <mergeCell ref="H104:H107"/>
    <mergeCell ref="C170:D170"/>
    <mergeCell ref="I216:I219"/>
    <mergeCell ref="G184:G187"/>
    <mergeCell ref="B283:B284"/>
    <mergeCell ref="G283:G284"/>
    <mergeCell ref="G232:G234"/>
    <mergeCell ref="G260:G262"/>
    <mergeCell ref="G197:J197"/>
    <mergeCell ref="I132:I135"/>
    <mergeCell ref="B268:B271"/>
    <mergeCell ref="G268:G271"/>
    <mergeCell ref="B240:B243"/>
    <mergeCell ref="G240:G243"/>
    <mergeCell ref="G136:G137"/>
    <mergeCell ref="G151:G155"/>
    <mergeCell ref="G201:G202"/>
    <mergeCell ref="G248:G249"/>
    <mergeCell ref="B235:B239"/>
    <mergeCell ref="G263:G267"/>
    <mergeCell ref="H199:H200"/>
    <mergeCell ref="I199:I200"/>
    <mergeCell ref="G220:G221"/>
    <mergeCell ref="J171:J194"/>
    <mergeCell ref="H145:H146"/>
    <mergeCell ref="B100:B103"/>
    <mergeCell ref="G100:G103"/>
    <mergeCell ref="B92:B94"/>
    <mergeCell ref="G92:G94"/>
    <mergeCell ref="C198:D198"/>
    <mergeCell ref="H89:H90"/>
    <mergeCell ref="I89:I90"/>
    <mergeCell ref="I24:I26"/>
    <mergeCell ref="G148:G150"/>
    <mergeCell ref="G169:J169"/>
    <mergeCell ref="G179:G183"/>
    <mergeCell ref="H188:H191"/>
    <mergeCell ref="G95:G99"/>
    <mergeCell ref="H76:H79"/>
    <mergeCell ref="I76:I79"/>
    <mergeCell ref="G24:G25"/>
    <mergeCell ref="G141:J141"/>
    <mergeCell ref="H80:H82"/>
    <mergeCell ref="I80:I82"/>
    <mergeCell ref="G85:J85"/>
    <mergeCell ref="H87:H88"/>
    <mergeCell ref="I87:I88"/>
    <mergeCell ref="H108:H110"/>
    <mergeCell ref="I108:I110"/>
    <mergeCell ref="A87:A88"/>
    <mergeCell ref="A89:A90"/>
    <mergeCell ref="A115:A116"/>
    <mergeCell ref="A117:A118"/>
    <mergeCell ref="A285:A286"/>
    <mergeCell ref="A300:A303"/>
    <mergeCell ref="A132:A135"/>
    <mergeCell ref="A136:A138"/>
    <mergeCell ref="A104:A107"/>
    <mergeCell ref="A199:A200"/>
    <mergeCell ref="A201:A202"/>
    <mergeCell ref="A171:A172"/>
    <mergeCell ref="A173:A174"/>
    <mergeCell ref="A188:A191"/>
    <mergeCell ref="A192:A194"/>
    <mergeCell ref="A145:A146"/>
    <mergeCell ref="A255:A256"/>
    <mergeCell ref="A216:A219"/>
    <mergeCell ref="A220:A222"/>
    <mergeCell ref="A227:A228"/>
    <mergeCell ref="A229:A230"/>
    <mergeCell ref="A244:A247"/>
    <mergeCell ref="A248:A250"/>
    <mergeCell ref="A287:A299"/>
    <mergeCell ref="I7:I19"/>
    <mergeCell ref="H7:H19"/>
    <mergeCell ref="J3:J26"/>
    <mergeCell ref="A7:A19"/>
    <mergeCell ref="A35:A47"/>
    <mergeCell ref="H35:H47"/>
    <mergeCell ref="I35:I47"/>
    <mergeCell ref="J31:J54"/>
    <mergeCell ref="H63:H75"/>
    <mergeCell ref="I63:I75"/>
    <mergeCell ref="J59:J82"/>
    <mergeCell ref="A63:A75"/>
    <mergeCell ref="G36:G38"/>
    <mergeCell ref="A80:A82"/>
    <mergeCell ref="A31:A32"/>
    <mergeCell ref="A33:A34"/>
    <mergeCell ref="A48:A51"/>
    <mergeCell ref="A52:A54"/>
    <mergeCell ref="A59:A60"/>
    <mergeCell ref="A61:A62"/>
    <mergeCell ref="A76:A79"/>
    <mergeCell ref="G80:G81"/>
    <mergeCell ref="B39:B43"/>
    <mergeCell ref="G39:G43"/>
    <mergeCell ref="A259:A271"/>
    <mergeCell ref="H259:H271"/>
    <mergeCell ref="I259:I271"/>
    <mergeCell ref="J255:J278"/>
    <mergeCell ref="J227:J250"/>
    <mergeCell ref="I231:I243"/>
    <mergeCell ref="H231:H243"/>
    <mergeCell ref="A304:A306"/>
    <mergeCell ref="A272:A275"/>
    <mergeCell ref="A276:A278"/>
    <mergeCell ref="A257:A258"/>
    <mergeCell ref="A283:A284"/>
    <mergeCell ref="I257:I258"/>
    <mergeCell ref="B263:B267"/>
    <mergeCell ref="B260:B262"/>
    <mergeCell ref="B232:B234"/>
    <mergeCell ref="G235:G239"/>
    <mergeCell ref="B304:B305"/>
    <mergeCell ref="G304:G305"/>
    <mergeCell ref="H304:H306"/>
    <mergeCell ref="I304:I306"/>
    <mergeCell ref="B285:B286"/>
    <mergeCell ref="G285:G286"/>
    <mergeCell ref="H285:H286"/>
    <mergeCell ref="A175:A187"/>
    <mergeCell ref="A203:A215"/>
    <mergeCell ref="A231:A243"/>
    <mergeCell ref="A147:A159"/>
    <mergeCell ref="H147:H159"/>
    <mergeCell ref="I147:I159"/>
    <mergeCell ref="J143:J166"/>
    <mergeCell ref="H91:H103"/>
    <mergeCell ref="I91:I103"/>
    <mergeCell ref="J87:J110"/>
    <mergeCell ref="A91:A103"/>
    <mergeCell ref="I119:I131"/>
    <mergeCell ref="H119:H131"/>
    <mergeCell ref="J115:J138"/>
    <mergeCell ref="A119:A131"/>
    <mergeCell ref="H203:H215"/>
    <mergeCell ref="I203:I215"/>
    <mergeCell ref="J199:J222"/>
    <mergeCell ref="H175:H187"/>
    <mergeCell ref="I175:I187"/>
    <mergeCell ref="A143:A144"/>
    <mergeCell ref="A160:A163"/>
    <mergeCell ref="A164:A166"/>
    <mergeCell ref="A108:A110"/>
  </mergeCells>
  <conditionalFormatting sqref="A2:C2 I24:I25 I20 I7 I5 G1 H27:J28 E2:J2 K1:L4 K5:K27 L39:L48 K49:K57 K58:L67 L68:L77 K78:K84 L97:L106 K107:K115 L126:L135 K136:K144 L155:L164 K165:K173 L184:L193 K194:K200 L213:L222 K223:K229 L242:L251 K252:K260 L261:L264 K270:K282 L278:L287 L290:L293 K306:K311 L307:L317 K87:L96 K116:L125 K145:L154 K174:L183 K203:L212 K232:L241 K28:L38">
    <cfRule type="beginsWith" dxfId="1684" priority="5007" stopIfTrue="1" operator="beginsWith" text="Functioning At Risk">
      <formula>LEFT(A1,LEN("Functioning At Risk"))="Functioning At Risk"</formula>
    </cfRule>
    <cfRule type="beginsWith" dxfId="1683" priority="5008" stopIfTrue="1" operator="beginsWith" text="Not Functioning">
      <formula>LEFT(A1,LEN("Not Functioning"))="Not Functioning"</formula>
    </cfRule>
    <cfRule type="containsText" dxfId="1682" priority="5009" operator="containsText" text="Functioning">
      <formula>NOT(ISERROR(SEARCH("Functioning",A1)))</formula>
    </cfRule>
  </conditionalFormatting>
  <conditionalFormatting sqref="K85:K86">
    <cfRule type="beginsWith" dxfId="1681" priority="4506" stopIfTrue="1" operator="beginsWith" text="Functioning At Risk">
      <formula>LEFT(K85,LEN("Functioning At Risk"))="Functioning At Risk"</formula>
    </cfRule>
    <cfRule type="beginsWith" dxfId="1680" priority="4507" stopIfTrue="1" operator="beginsWith" text="Not Functioning">
      <formula>LEFT(K85,LEN("Not Functioning"))="Not Functioning"</formula>
    </cfRule>
    <cfRule type="containsText" dxfId="1679" priority="4508" operator="containsText" text="Functioning">
      <formula>NOT(ISERROR(SEARCH("Functioning",K85)))</formula>
    </cfRule>
  </conditionalFormatting>
  <conditionalFormatting sqref="A86:B86 F86">
    <cfRule type="beginsWith" dxfId="1678" priority="4503" stopIfTrue="1" operator="beginsWith" text="Functioning At Risk">
      <formula>LEFT(A86,LEN("Functioning At Risk"))="Functioning At Risk"</formula>
    </cfRule>
    <cfRule type="beginsWith" dxfId="1677" priority="4504" stopIfTrue="1" operator="beginsWith" text="Not Functioning">
      <formula>LEFT(A86,LEN("Not Functioning"))="Not Functioning"</formula>
    </cfRule>
    <cfRule type="containsText" dxfId="1676" priority="4505" operator="containsText" text="Functioning">
      <formula>NOT(ISERROR(SEARCH("Functioning",A86)))</formula>
    </cfRule>
  </conditionalFormatting>
  <conditionalFormatting sqref="A114:B114 F114">
    <cfRule type="beginsWith" dxfId="1675" priority="4399" stopIfTrue="1" operator="beginsWith" text="Functioning At Risk">
      <formula>LEFT(A114,LEN("Functioning At Risk"))="Functioning At Risk"</formula>
    </cfRule>
    <cfRule type="beginsWith" dxfId="1674" priority="4400" stopIfTrue="1" operator="beginsWith" text="Not Functioning">
      <formula>LEFT(A114,LEN("Not Functioning"))="Not Functioning"</formula>
    </cfRule>
    <cfRule type="containsText" dxfId="1673" priority="4401" operator="containsText" text="Functioning">
      <formula>NOT(ISERROR(SEARCH("Functioning",A114)))</formula>
    </cfRule>
  </conditionalFormatting>
  <conditionalFormatting sqref="A142:B142 F142">
    <cfRule type="beginsWith" dxfId="1672" priority="4295" stopIfTrue="1" operator="beginsWith" text="Functioning At Risk">
      <formula>LEFT(A142,LEN("Functioning At Risk"))="Functioning At Risk"</formula>
    </cfRule>
    <cfRule type="beginsWith" dxfId="1671" priority="4296" stopIfTrue="1" operator="beginsWith" text="Not Functioning">
      <formula>LEFT(A142,LEN("Not Functioning"))="Not Functioning"</formula>
    </cfRule>
    <cfRule type="containsText" dxfId="1670" priority="4297" operator="containsText" text="Functioning">
      <formula>NOT(ISERROR(SEARCH("Functioning",A142)))</formula>
    </cfRule>
  </conditionalFormatting>
  <conditionalFormatting sqref="A170:B170 F170">
    <cfRule type="beginsWith" dxfId="1669" priority="4191" stopIfTrue="1" operator="beginsWith" text="Functioning At Risk">
      <formula>LEFT(A170,LEN("Functioning At Risk"))="Functioning At Risk"</formula>
    </cfRule>
    <cfRule type="beginsWith" dxfId="1668" priority="4192" stopIfTrue="1" operator="beginsWith" text="Not Functioning">
      <formula>LEFT(A170,LEN("Not Functioning"))="Not Functioning"</formula>
    </cfRule>
    <cfRule type="containsText" dxfId="1667" priority="4193" operator="containsText" text="Functioning">
      <formula>NOT(ISERROR(SEARCH("Functioning",A170)))</formula>
    </cfRule>
  </conditionalFormatting>
  <conditionalFormatting sqref="K201:K202">
    <cfRule type="beginsWith" dxfId="1666" priority="4087" stopIfTrue="1" operator="beginsWith" text="Functioning At Risk">
      <formula>LEFT(K201,LEN("Functioning At Risk"))="Functioning At Risk"</formula>
    </cfRule>
    <cfRule type="beginsWith" dxfId="1665" priority="4088" stopIfTrue="1" operator="beginsWith" text="Not Functioning">
      <formula>LEFT(K201,LEN("Not Functioning"))="Not Functioning"</formula>
    </cfRule>
    <cfRule type="containsText" dxfId="1664" priority="4089" operator="containsText" text="Functioning">
      <formula>NOT(ISERROR(SEARCH("Functioning",K201)))</formula>
    </cfRule>
  </conditionalFormatting>
  <conditionalFormatting sqref="A198:B198 F198">
    <cfRule type="beginsWith" dxfId="1663" priority="4084" stopIfTrue="1" operator="beginsWith" text="Functioning At Risk">
      <formula>LEFT(A198,LEN("Functioning At Risk"))="Functioning At Risk"</formula>
    </cfRule>
    <cfRule type="beginsWith" dxfId="1662" priority="4085" stopIfTrue="1" operator="beginsWith" text="Not Functioning">
      <formula>LEFT(A198,LEN("Not Functioning"))="Not Functioning"</formula>
    </cfRule>
    <cfRule type="containsText" dxfId="1661" priority="4086" operator="containsText" text="Functioning">
      <formula>NOT(ISERROR(SEARCH("Functioning",A198)))</formula>
    </cfRule>
  </conditionalFormatting>
  <conditionalFormatting sqref="K230:K231">
    <cfRule type="beginsWith" dxfId="1660" priority="3980" stopIfTrue="1" operator="beginsWith" text="Functioning At Risk">
      <formula>LEFT(K230,LEN("Functioning At Risk"))="Functioning At Risk"</formula>
    </cfRule>
    <cfRule type="beginsWith" dxfId="1659" priority="3981" stopIfTrue="1" operator="beginsWith" text="Not Functioning">
      <formula>LEFT(K230,LEN("Not Functioning"))="Not Functioning"</formula>
    </cfRule>
    <cfRule type="containsText" dxfId="1658" priority="3982" operator="containsText" text="Functioning">
      <formula>NOT(ISERROR(SEARCH("Functioning",K230)))</formula>
    </cfRule>
  </conditionalFormatting>
  <conditionalFormatting sqref="A226:B226 F226">
    <cfRule type="beginsWith" dxfId="1657" priority="3977" stopIfTrue="1" operator="beginsWith" text="Functioning At Risk">
      <formula>LEFT(A226,LEN("Functioning At Risk"))="Functioning At Risk"</formula>
    </cfRule>
    <cfRule type="beginsWith" dxfId="1656" priority="3978" stopIfTrue="1" operator="beginsWith" text="Not Functioning">
      <formula>LEFT(A226,LEN("Not Functioning"))="Not Functioning"</formula>
    </cfRule>
    <cfRule type="containsText" dxfId="1655" priority="3979" operator="containsText" text="Functioning">
      <formula>NOT(ISERROR(SEARCH("Functioning",A226)))</formula>
    </cfRule>
  </conditionalFormatting>
  <conditionalFormatting sqref="A254:B254 F254">
    <cfRule type="beginsWith" dxfId="1654" priority="3873" stopIfTrue="1" operator="beginsWith" text="Functioning At Risk">
      <formula>LEFT(A254,LEN("Functioning At Risk"))="Functioning At Risk"</formula>
    </cfRule>
    <cfRule type="beginsWith" dxfId="1653" priority="3874" stopIfTrue="1" operator="beginsWith" text="Not Functioning">
      <formula>LEFT(A254,LEN("Not Functioning"))="Not Functioning"</formula>
    </cfRule>
    <cfRule type="containsText" dxfId="1652" priority="3875" operator="containsText" text="Functioning">
      <formula>NOT(ISERROR(SEARCH("Functioning",A254)))</formula>
    </cfRule>
  </conditionalFormatting>
  <conditionalFormatting sqref="K299:K305 K288:K289">
    <cfRule type="beginsWith" dxfId="1651" priority="3769" stopIfTrue="1" operator="beginsWith" text="Functioning At Risk">
      <formula>LEFT(K288,LEN("Functioning At Risk"))="Functioning At Risk"</formula>
    </cfRule>
    <cfRule type="beginsWith" dxfId="1650" priority="3770" stopIfTrue="1" operator="beginsWith" text="Not Functioning">
      <formula>LEFT(K288,LEN("Not Functioning"))="Not Functioning"</formula>
    </cfRule>
    <cfRule type="containsText" dxfId="1649" priority="3771" operator="containsText" text="Functioning">
      <formula>NOT(ISERROR(SEARCH("Functioning",K288)))</formula>
    </cfRule>
  </conditionalFormatting>
  <conditionalFormatting sqref="A282:B282 F282">
    <cfRule type="beginsWith" dxfId="1648" priority="3766" stopIfTrue="1" operator="beginsWith" text="Functioning At Risk">
      <formula>LEFT(A282,LEN("Functioning At Risk"))="Functioning At Risk"</formula>
    </cfRule>
    <cfRule type="beginsWith" dxfId="1647" priority="3767" stopIfTrue="1" operator="beginsWith" text="Not Functioning">
      <formula>LEFT(A282,LEN("Not Functioning"))="Not Functioning"</formula>
    </cfRule>
    <cfRule type="containsText" dxfId="1646" priority="3768" operator="containsText" text="Functioning">
      <formula>NOT(ISERROR(SEARCH("Functioning",A282)))</formula>
    </cfRule>
  </conditionalFormatting>
  <conditionalFormatting sqref="C7">
    <cfRule type="beginsWith" dxfId="1645" priority="2786" stopIfTrue="1" operator="beginsWith" text="Functioning At Risk">
      <formula>LEFT(C7,LEN("Functioning At Risk"))="Functioning At Risk"</formula>
    </cfRule>
    <cfRule type="beginsWith" dxfId="1644" priority="2787" stopIfTrue="1" operator="beginsWith" text="Not Functioning">
      <formula>LEFT(C7,LEN("Not Functioning"))="Not Functioning"</formula>
    </cfRule>
    <cfRule type="containsText" dxfId="1643" priority="2788" operator="containsText" text="Functioning">
      <formula>NOT(ISERROR(SEARCH("Functioning",C7)))</formula>
    </cfRule>
  </conditionalFormatting>
  <conditionalFormatting sqref="C15">
    <cfRule type="beginsWith" dxfId="1642" priority="2777" stopIfTrue="1" operator="beginsWith" text="Functioning At Risk">
      <formula>LEFT(C15,LEN("Functioning At Risk"))="Functioning At Risk"</formula>
    </cfRule>
    <cfRule type="beginsWith" dxfId="1641" priority="2778" stopIfTrue="1" operator="beginsWith" text="Not Functioning">
      <formula>LEFT(C15,LEN("Not Functioning"))="Not Functioning"</formula>
    </cfRule>
    <cfRule type="containsText" dxfId="1640" priority="2779" operator="containsText" text="Functioning">
      <formula>NOT(ISERROR(SEARCH("Functioning",C15)))</formula>
    </cfRule>
  </conditionalFormatting>
  <conditionalFormatting sqref="C35">
    <cfRule type="beginsWith" dxfId="1639" priority="2630" stopIfTrue="1" operator="beginsWith" text="Functioning At Risk">
      <formula>LEFT(C35,LEN("Functioning At Risk"))="Functioning At Risk"</formula>
    </cfRule>
    <cfRule type="beginsWith" dxfId="1638" priority="2631" stopIfTrue="1" operator="beginsWith" text="Not Functioning">
      <formula>LEFT(C35,LEN("Not Functioning"))="Not Functioning"</formula>
    </cfRule>
    <cfRule type="containsText" dxfId="1637" priority="2632" operator="containsText" text="Functioning">
      <formula>NOT(ISERROR(SEARCH("Functioning",C35)))</formula>
    </cfRule>
  </conditionalFormatting>
  <conditionalFormatting sqref="C8">
    <cfRule type="beginsWith" dxfId="1636" priority="2765" stopIfTrue="1" operator="beginsWith" text="Functioning At Risk">
      <formula>LEFT(C8,LEN("Functioning At Risk"))="Functioning At Risk"</formula>
    </cfRule>
    <cfRule type="beginsWith" dxfId="1635" priority="2766" stopIfTrue="1" operator="beginsWith" text="Not Functioning">
      <formula>LEFT(C8,LEN("Not Functioning"))="Not Functioning"</formula>
    </cfRule>
    <cfRule type="containsText" dxfId="1634" priority="2767" operator="containsText" text="Functioning">
      <formula>NOT(ISERROR(SEARCH("Functioning",C8)))</formula>
    </cfRule>
  </conditionalFormatting>
  <conditionalFormatting sqref="H20 H7 H5">
    <cfRule type="beginsWith" dxfId="1633" priority="3422" stopIfTrue="1" operator="beginsWith" text="Functioning At Risk">
      <formula>LEFT(H5,LEN("Functioning At Risk"))="Functioning At Risk"</formula>
    </cfRule>
    <cfRule type="beginsWith" dxfId="1632" priority="3423" stopIfTrue="1" operator="beginsWith" text="Not Functioning">
      <formula>LEFT(H5,LEN("Not Functioning"))="Not Functioning"</formula>
    </cfRule>
    <cfRule type="containsText" dxfId="1631" priority="3424" operator="containsText" text="Functioning">
      <formula>NOT(ISERROR(SEARCH("Functioning",H5)))</formula>
    </cfRule>
  </conditionalFormatting>
  <conditionalFormatting sqref="B36">
    <cfRule type="beginsWith" dxfId="1630" priority="2639" stopIfTrue="1" operator="beginsWith" text="Functioning At Risk">
      <formula>LEFT(B36,LEN("Functioning At Risk"))="Functioning At Risk"</formula>
    </cfRule>
    <cfRule type="beginsWith" dxfId="1629" priority="2640" stopIfTrue="1" operator="beginsWith" text="Not Functioning">
      <formula>LEFT(B36,LEN("Not Functioning"))="Not Functioning"</formula>
    </cfRule>
    <cfRule type="containsText" dxfId="1628" priority="2641" operator="containsText" text="Functioning">
      <formula>NOT(ISERROR(SEARCH("Functioning",B36)))</formula>
    </cfRule>
  </conditionalFormatting>
  <conditionalFormatting sqref="D70">
    <cfRule type="beginsWith" dxfId="1627" priority="2591" stopIfTrue="1" operator="beginsWith" text="Functioning At Risk">
      <formula>LEFT(D70,LEN("Functioning At Risk"))="Functioning At Risk"</formula>
    </cfRule>
    <cfRule type="beginsWith" dxfId="1626" priority="2592" stopIfTrue="1" operator="beginsWith" text="Not Functioning">
      <formula>LEFT(D70,LEN("Not Functioning"))="Not Functioning"</formula>
    </cfRule>
    <cfRule type="containsText" dxfId="1625" priority="2593" operator="containsText" text="Functioning">
      <formula>NOT(ISERROR(SEARCH("Functioning",D70)))</formula>
    </cfRule>
  </conditionalFormatting>
  <conditionalFormatting sqref="D38">
    <cfRule type="beginsWith" dxfId="1624" priority="2648" stopIfTrue="1" operator="beginsWith" text="Functioning At Risk">
      <formula>LEFT(D38,LEN("Functioning At Risk"))="Functioning At Risk"</formula>
    </cfRule>
    <cfRule type="beginsWith" dxfId="1623" priority="2649" stopIfTrue="1" operator="beginsWith" text="Not Functioning">
      <formula>LEFT(D38,LEN("Not Functioning"))="Not Functioning"</formula>
    </cfRule>
    <cfRule type="containsText" dxfId="1622" priority="2650" operator="containsText" text="Functioning">
      <formula>NOT(ISERROR(SEARCH("Functioning",D38)))</formula>
    </cfRule>
  </conditionalFormatting>
  <conditionalFormatting sqref="D36">
    <cfRule type="beginsWith" dxfId="1621" priority="2645" stopIfTrue="1" operator="beginsWith" text="Functioning At Risk">
      <formula>LEFT(D36,LEN("Functioning At Risk"))="Functioning At Risk"</formula>
    </cfRule>
    <cfRule type="beginsWith" dxfId="1620" priority="2646" stopIfTrue="1" operator="beginsWith" text="Not Functioning">
      <formula>LEFT(D36,LEN("Not Functioning"))="Not Functioning"</formula>
    </cfRule>
    <cfRule type="containsText" dxfId="1619" priority="2647" operator="containsText" text="Functioning">
      <formula>NOT(ISERROR(SEARCH("Functioning",D36)))</formula>
    </cfRule>
  </conditionalFormatting>
  <conditionalFormatting sqref="B72:C72 B61:C61 B63 C62 B82 C73:C75 B77:B79">
    <cfRule type="beginsWith" dxfId="1618" priority="2576" stopIfTrue="1" operator="beginsWith" text="Functioning At Risk">
      <formula>LEFT(B61,LEN("Functioning At Risk"))="Functioning At Risk"</formula>
    </cfRule>
    <cfRule type="beginsWith" dxfId="1617" priority="2577" stopIfTrue="1" operator="beginsWith" text="Not Functioning">
      <formula>LEFT(B61,LEN("Not Functioning"))="Not Functioning"</formula>
    </cfRule>
    <cfRule type="containsText" dxfId="1616" priority="2578" operator="containsText" text="Functioning">
      <formula>NOT(ISERROR(SEARCH("Functioning",B61)))</formula>
    </cfRule>
  </conditionalFormatting>
  <conditionalFormatting sqref="B92">
    <cfRule type="beginsWith" dxfId="1615" priority="2507" stopIfTrue="1" operator="beginsWith" text="Functioning At Risk">
      <formula>LEFT(B92,LEN("Functioning At Risk"))="Functioning At Risk"</formula>
    </cfRule>
    <cfRule type="beginsWith" dxfId="1614" priority="2508" stopIfTrue="1" operator="beginsWith" text="Not Functioning">
      <formula>LEFT(B92,LEN("Not Functioning"))="Not Functioning"</formula>
    </cfRule>
    <cfRule type="containsText" dxfId="1613" priority="2509" operator="containsText" text="Functioning">
      <formula>NOT(ISERROR(SEARCH("Functioning",B92)))</formula>
    </cfRule>
  </conditionalFormatting>
  <conditionalFormatting sqref="B132">
    <cfRule type="beginsWith" dxfId="1612" priority="2438" stopIfTrue="1" operator="beginsWith" text="Functioning At Risk">
      <formula>LEFT(B132,LEN("Functioning At Risk"))="Functioning At Risk"</formula>
    </cfRule>
    <cfRule type="beginsWith" dxfId="1611" priority="2439" stopIfTrue="1" operator="beginsWith" text="Not Functioning">
      <formula>LEFT(B132,LEN("Not Functioning"))="Not Functioning"</formula>
    </cfRule>
    <cfRule type="containsText" dxfId="1610" priority="2440" operator="containsText" text="Functioning">
      <formula>NOT(ISERROR(SEARCH("Functioning",B132)))</formula>
    </cfRule>
  </conditionalFormatting>
  <conditionalFormatting sqref="D147">
    <cfRule type="beginsWith" dxfId="1609" priority="2387" stopIfTrue="1" operator="beginsWith" text="Functioning At Risk">
      <formula>LEFT(D147,LEN("Functioning At Risk"))="Functioning At Risk"</formula>
    </cfRule>
    <cfRule type="beginsWith" dxfId="1608" priority="2388" stopIfTrue="1" operator="beginsWith" text="Not Functioning">
      <formula>LEFT(D147,LEN("Not Functioning"))="Not Functioning"</formula>
    </cfRule>
    <cfRule type="containsText" dxfId="1607" priority="2389" operator="containsText" text="Functioning">
      <formula>NOT(ISERROR(SEARCH("Functioning",D147)))</formula>
    </cfRule>
  </conditionalFormatting>
  <conditionalFormatting sqref="D8">
    <cfRule type="beginsWith" dxfId="1606" priority="2843" stopIfTrue="1" operator="beginsWith" text="Functioning At Risk">
      <formula>LEFT(D8,LEN("Functioning At Risk"))="Functioning At Risk"</formula>
    </cfRule>
    <cfRule type="beginsWith" dxfId="1605" priority="2844" stopIfTrue="1" operator="beginsWith" text="Not Functioning">
      <formula>LEFT(D8,LEN("Not Functioning"))="Not Functioning"</formula>
    </cfRule>
    <cfRule type="containsText" dxfId="1604" priority="2845" operator="containsText" text="Functioning">
      <formula>NOT(ISERROR(SEARCH("Functioning",D8)))</formula>
    </cfRule>
  </conditionalFormatting>
  <conditionalFormatting sqref="C10">
    <cfRule type="beginsWith" dxfId="1603" priority="2768" stopIfTrue="1" operator="beginsWith" text="Functioning At Risk">
      <formula>LEFT(C10,LEN("Functioning At Risk"))="Functioning At Risk"</formula>
    </cfRule>
    <cfRule type="beginsWith" dxfId="1602" priority="2769" stopIfTrue="1" operator="beginsWith" text="Not Functioning">
      <formula>LEFT(C10,LEN("Not Functioning"))="Not Functioning"</formula>
    </cfRule>
    <cfRule type="containsText" dxfId="1601" priority="2770" operator="containsText" text="Functioning">
      <formula>NOT(ISERROR(SEARCH("Functioning",C10)))</formula>
    </cfRule>
  </conditionalFormatting>
  <conditionalFormatting sqref="A7">
    <cfRule type="beginsWith" dxfId="1600" priority="2918" stopIfTrue="1" operator="beginsWith" text="Functioning At Risk">
      <formula>LEFT(A7,LEN("Functioning At Risk"))="Functioning At Risk"</formula>
    </cfRule>
    <cfRule type="beginsWith" dxfId="1599" priority="2919" stopIfTrue="1" operator="beginsWith" text="Not Functioning">
      <formula>LEFT(A7,LEN("Not Functioning"))="Not Functioning"</formula>
    </cfRule>
    <cfRule type="containsText" dxfId="1598" priority="2920" operator="containsText" text="Functioning">
      <formula>NOT(ISERROR(SEARCH("Functioning",A7)))</formula>
    </cfRule>
  </conditionalFormatting>
  <conditionalFormatting sqref="D183">
    <cfRule type="beginsWith" dxfId="1597" priority="2324" stopIfTrue="1" operator="beginsWith" text="Functioning At Risk">
      <formula>LEFT(D183,LEN("Functioning At Risk"))="Functioning At Risk"</formula>
    </cfRule>
    <cfRule type="beginsWith" dxfId="1596" priority="2325" stopIfTrue="1" operator="beginsWith" text="Not Functioning">
      <formula>LEFT(D183,LEN("Not Functioning"))="Not Functioning"</formula>
    </cfRule>
    <cfRule type="containsText" dxfId="1595" priority="2326" operator="containsText" text="Functioning">
      <formula>NOT(ISERROR(SEARCH("Functioning",D183)))</formula>
    </cfRule>
  </conditionalFormatting>
  <conditionalFormatting sqref="D122">
    <cfRule type="beginsWith" dxfId="1594" priority="2450" stopIfTrue="1" operator="beginsWith" text="Functioning At Risk">
      <formula>LEFT(D122,LEN("Functioning At Risk"))="Functioning At Risk"</formula>
    </cfRule>
    <cfRule type="beginsWith" dxfId="1593" priority="2451" stopIfTrue="1" operator="beginsWith" text="Not Functioning">
      <formula>LEFT(D122,LEN("Not Functioning"))="Not Functioning"</formula>
    </cfRule>
    <cfRule type="containsText" dxfId="1592" priority="2452" operator="containsText" text="Functioning">
      <formula>NOT(ISERROR(SEARCH("Functioning",D122)))</formula>
    </cfRule>
  </conditionalFormatting>
  <conditionalFormatting sqref="D92">
    <cfRule type="beginsWith" dxfId="1591" priority="2513" stopIfTrue="1" operator="beginsWith" text="Functioning At Risk">
      <formula>LEFT(D92,LEN("Functioning At Risk"))="Functioning At Risk"</formula>
    </cfRule>
    <cfRule type="beginsWith" dxfId="1590" priority="2514" stopIfTrue="1" operator="beginsWith" text="Not Functioning">
      <formula>LEFT(D92,LEN("Not Functioning"))="Not Functioning"</formula>
    </cfRule>
    <cfRule type="containsText" dxfId="1589" priority="2515" operator="containsText" text="Functioning">
      <formula>NOT(ISERROR(SEARCH("Functioning",D92)))</formula>
    </cfRule>
  </conditionalFormatting>
  <conditionalFormatting sqref="D14">
    <cfRule type="beginsWith" dxfId="1588" priority="2903" stopIfTrue="1" operator="beginsWith" text="Functioning At Risk">
      <formula>LEFT(D14,LEN("Functioning At Risk"))="Functioning At Risk"</formula>
    </cfRule>
    <cfRule type="beginsWith" dxfId="1587" priority="2904" stopIfTrue="1" operator="beginsWith" text="Not Functioning">
      <formula>LEFT(D14,LEN("Not Functioning"))="Not Functioning"</formula>
    </cfRule>
    <cfRule type="containsText" dxfId="1586" priority="2905" operator="containsText" text="Functioning">
      <formula>NOT(ISERROR(SEARCH("Functioning",D14)))</formula>
    </cfRule>
  </conditionalFormatting>
  <conditionalFormatting sqref="D15">
    <cfRule type="beginsWith" dxfId="1585" priority="2897" stopIfTrue="1" operator="beginsWith" text="Functioning At Risk">
      <formula>LEFT(D15,LEN("Functioning At Risk"))="Functioning At Risk"</formula>
    </cfRule>
    <cfRule type="beginsWith" dxfId="1584" priority="2898" stopIfTrue="1" operator="beginsWith" text="Not Functioning">
      <formula>LEFT(D15,LEN("Not Functioning"))="Not Functioning"</formula>
    </cfRule>
    <cfRule type="containsText" dxfId="1583" priority="2899" operator="containsText" text="Functioning">
      <formula>NOT(ISERROR(SEARCH("Functioning",D15)))</formula>
    </cfRule>
  </conditionalFormatting>
  <conditionalFormatting sqref="B8">
    <cfRule type="beginsWith" dxfId="1582" priority="2795" stopIfTrue="1" operator="beginsWith" text="Functioning At Risk">
      <formula>LEFT(B8,LEN("Functioning At Risk"))="Functioning At Risk"</formula>
    </cfRule>
    <cfRule type="beginsWith" dxfId="1581" priority="2796" stopIfTrue="1" operator="beginsWith" text="Not Functioning">
      <formula>LEFT(B8,LEN("Not Functioning"))="Not Functioning"</formula>
    </cfRule>
    <cfRule type="containsText" dxfId="1580" priority="2797" operator="containsText" text="Functioning">
      <formula>NOT(ISERROR(SEARCH("Functioning",B8)))</formula>
    </cfRule>
  </conditionalFormatting>
  <conditionalFormatting sqref="C13">
    <cfRule type="beginsWith" dxfId="1579" priority="2774" stopIfTrue="1" operator="beginsWith" text="Functioning At Risk">
      <formula>LEFT(C13,LEN("Functioning At Risk"))="Functioning At Risk"</formula>
    </cfRule>
    <cfRule type="beginsWith" dxfId="1578" priority="2775" stopIfTrue="1" operator="beginsWith" text="Not Functioning">
      <formula>LEFT(C13,LEN("Not Functioning"))="Not Functioning"</formula>
    </cfRule>
    <cfRule type="containsText" dxfId="1577" priority="2776" operator="containsText" text="Functioning">
      <formula>NOT(ISERROR(SEARCH("Functioning",C13)))</formula>
    </cfRule>
  </conditionalFormatting>
  <conditionalFormatting sqref="B16:C16 B5:C5 B7 C6 B26 C17:C19 B21:B23">
    <cfRule type="beginsWith" dxfId="1576" priority="2798" stopIfTrue="1" operator="beginsWith" text="Functioning At Risk">
      <formula>LEFT(B5,LEN("Functioning At Risk"))="Functioning At Risk"</formula>
    </cfRule>
    <cfRule type="beginsWith" dxfId="1575" priority="2799" stopIfTrue="1" operator="beginsWith" text="Not Functioning">
      <formula>LEFT(B5,LEN("Not Functioning"))="Not Functioning"</formula>
    </cfRule>
    <cfRule type="containsText" dxfId="1574" priority="2800" operator="containsText" text="Functioning">
      <formula>NOT(ISERROR(SEARCH("Functioning",B5)))</formula>
    </cfRule>
  </conditionalFormatting>
  <conditionalFormatting sqref="A5 A24:A25">
    <cfRule type="beginsWith" dxfId="1573" priority="2915" stopIfTrue="1" operator="beginsWith" text="Functioning At Risk">
      <formula>LEFT(A5,LEN("Functioning At Risk"))="Functioning At Risk"</formula>
    </cfRule>
    <cfRule type="beginsWith" dxfId="1572" priority="2916" stopIfTrue="1" operator="beginsWith" text="Not Functioning">
      <formula>LEFT(A5,LEN("Not Functioning"))="Not Functioning"</formula>
    </cfRule>
    <cfRule type="containsText" dxfId="1571" priority="2917" operator="containsText" text="Functioning">
      <formula>NOT(ISERROR(SEARCH("Functioning",A5)))</formula>
    </cfRule>
  </conditionalFormatting>
  <conditionalFormatting sqref="A20">
    <cfRule type="beginsWith" dxfId="1570" priority="2912" stopIfTrue="1" operator="beginsWith" text="Functioning At Risk">
      <formula>LEFT(A20,LEN("Functioning At Risk"))="Functioning At Risk"</formula>
    </cfRule>
    <cfRule type="beginsWith" dxfId="1569" priority="2913" stopIfTrue="1" operator="beginsWith" text="Not Functioning">
      <formula>LEFT(A20,LEN("Not Functioning"))="Not Functioning"</formula>
    </cfRule>
    <cfRule type="containsText" dxfId="1568" priority="2914" operator="containsText" text="Functioning">
      <formula>NOT(ISERROR(SEARCH("Functioning",A20)))</formula>
    </cfRule>
  </conditionalFormatting>
  <conditionalFormatting sqref="D24:D26 D11:D13 D5:D6 D16:D19">
    <cfRule type="beginsWith" dxfId="1567" priority="2909" stopIfTrue="1" operator="beginsWith" text="Functioning At Risk">
      <formula>LEFT(D5,LEN("Functioning At Risk"))="Functioning At Risk"</formula>
    </cfRule>
    <cfRule type="beginsWith" dxfId="1566" priority="2910" stopIfTrue="1" operator="beginsWith" text="Not Functioning">
      <formula>LEFT(D5,LEN("Not Functioning"))="Not Functioning"</formula>
    </cfRule>
    <cfRule type="containsText" dxfId="1565" priority="2911" operator="containsText" text="Functioning">
      <formula>NOT(ISERROR(SEARCH("Functioning",D5)))</formula>
    </cfRule>
  </conditionalFormatting>
  <conditionalFormatting sqref="D20">
    <cfRule type="beginsWith" dxfId="1564" priority="2906" stopIfTrue="1" operator="beginsWith" text="Functioning At Risk">
      <formula>LEFT(D20,LEN("Functioning At Risk"))="Functioning At Risk"</formula>
    </cfRule>
    <cfRule type="beginsWith" dxfId="1563" priority="2907" stopIfTrue="1" operator="beginsWith" text="Not Functioning">
      <formula>LEFT(D20,LEN("Not Functioning"))="Not Functioning"</formula>
    </cfRule>
    <cfRule type="containsText" dxfId="1562" priority="2908" operator="containsText" text="Functioning">
      <formula>NOT(ISERROR(SEARCH("Functioning",D20)))</formula>
    </cfRule>
  </conditionalFormatting>
  <conditionalFormatting sqref="D7">
    <cfRule type="beginsWith" dxfId="1561" priority="2885" stopIfTrue="1" operator="beginsWith" text="Functioning At Risk">
      <formula>LEFT(D7,LEN("Functioning At Risk"))="Functioning At Risk"</formula>
    </cfRule>
    <cfRule type="beginsWith" dxfId="1560" priority="2886" stopIfTrue="1" operator="beginsWith" text="Not Functioning">
      <formula>LEFT(D7,LEN("Not Functioning"))="Not Functioning"</formula>
    </cfRule>
    <cfRule type="containsText" dxfId="1559" priority="2887" operator="containsText" text="Functioning">
      <formula>NOT(ISERROR(SEARCH("Functioning",D7)))</formula>
    </cfRule>
  </conditionalFormatting>
  <conditionalFormatting sqref="D10">
    <cfRule type="beginsWith" dxfId="1558" priority="2849" stopIfTrue="1" operator="beginsWith" text="Functioning At Risk">
      <formula>LEFT(D10,LEN("Functioning At Risk"))="Functioning At Risk"</formula>
    </cfRule>
    <cfRule type="beginsWith" dxfId="1557" priority="2850" stopIfTrue="1" operator="beginsWith" text="Not Functioning">
      <formula>LEFT(D10,LEN("Not Functioning"))="Not Functioning"</formula>
    </cfRule>
    <cfRule type="containsText" dxfId="1556" priority="2851" operator="containsText" text="Functioning">
      <formula>NOT(ISERROR(SEARCH("Functioning",D10)))</formula>
    </cfRule>
  </conditionalFormatting>
  <conditionalFormatting sqref="I3">
    <cfRule type="beginsWith" dxfId="1555" priority="2810" stopIfTrue="1" operator="beginsWith" text="Functioning At Risk">
      <formula>LEFT(I3,LEN("Functioning At Risk"))="Functioning At Risk"</formula>
    </cfRule>
    <cfRule type="beginsWith" dxfId="1554" priority="2811" stopIfTrue="1" operator="beginsWith" text="Not Functioning">
      <formula>LEFT(I3,LEN("Not Functioning"))="Not Functioning"</formula>
    </cfRule>
    <cfRule type="containsText" dxfId="1553" priority="2812" operator="containsText" text="Functioning">
      <formula>NOT(ISERROR(SEARCH("Functioning",I3)))</formula>
    </cfRule>
  </conditionalFormatting>
  <conditionalFormatting sqref="J3">
    <cfRule type="beginsWith" dxfId="1552" priority="2804" stopIfTrue="1" operator="beginsWith" text="Functioning At Risk">
      <formula>LEFT(J3,LEN("Functioning At Risk"))="Functioning At Risk"</formula>
    </cfRule>
    <cfRule type="beginsWith" dxfId="1551" priority="2805" stopIfTrue="1" operator="beginsWith" text="Not Functioning">
      <formula>LEFT(J3,LEN("Not Functioning"))="Not Functioning"</formula>
    </cfRule>
    <cfRule type="containsText" dxfId="1550" priority="2806" operator="containsText" text="Functioning">
      <formula>NOT(ISERROR(SEARCH("Functioning",J3)))</formula>
    </cfRule>
  </conditionalFormatting>
  <conditionalFormatting sqref="H3">
    <cfRule type="beginsWith" dxfId="1549" priority="2807" stopIfTrue="1" operator="beginsWith" text="Functioning At Risk">
      <formula>LEFT(H3,LEN("Functioning At Risk"))="Functioning At Risk"</formula>
    </cfRule>
    <cfRule type="beginsWith" dxfId="1548" priority="2808" stopIfTrue="1" operator="beginsWith" text="Not Functioning">
      <formula>LEFT(H3,LEN("Not Functioning"))="Not Functioning"</formula>
    </cfRule>
    <cfRule type="containsText" dxfId="1547" priority="2809" operator="containsText" text="Functioning">
      <formula>NOT(ISERROR(SEARCH("Functioning",H3)))</formula>
    </cfRule>
  </conditionalFormatting>
  <conditionalFormatting sqref="B20">
    <cfRule type="beginsWith" dxfId="1546" priority="2792" stopIfTrue="1" operator="beginsWith" text="Functioning At Risk">
      <formula>LEFT(B20,LEN("Functioning At Risk"))="Functioning At Risk"</formula>
    </cfRule>
    <cfRule type="beginsWith" dxfId="1545" priority="2793" stopIfTrue="1" operator="beginsWith" text="Not Functioning">
      <formula>LEFT(B20,LEN("Not Functioning"))="Not Functioning"</formula>
    </cfRule>
    <cfRule type="containsText" dxfId="1544" priority="2794" operator="containsText" text="Functioning">
      <formula>NOT(ISERROR(SEARCH("Functioning",B20)))</formula>
    </cfRule>
  </conditionalFormatting>
  <conditionalFormatting sqref="B24">
    <cfRule type="beginsWith" dxfId="1543" priority="2789" stopIfTrue="1" operator="beginsWith" text="Functioning At Risk">
      <formula>LEFT(B24,LEN("Functioning At Risk"))="Functioning At Risk"</formula>
    </cfRule>
    <cfRule type="beginsWith" dxfId="1542" priority="2790" stopIfTrue="1" operator="beginsWith" text="Not Functioning">
      <formula>LEFT(B24,LEN("Not Functioning"))="Not Functioning"</formula>
    </cfRule>
    <cfRule type="containsText" dxfId="1541" priority="2791" operator="containsText" text="Functioning">
      <formula>NOT(ISERROR(SEARCH("Functioning",B24)))</formula>
    </cfRule>
  </conditionalFormatting>
  <conditionalFormatting sqref="B11:C12 B13">
    <cfRule type="beginsWith" dxfId="1540" priority="2780" stopIfTrue="1" operator="beginsWith" text="Functioning At Risk">
      <formula>LEFT(B11,LEN("Functioning At Risk"))="Functioning At Risk"</formula>
    </cfRule>
    <cfRule type="beginsWith" dxfId="1539" priority="2781" stopIfTrue="1" operator="beginsWith" text="Not Functioning">
      <formula>LEFT(B11,LEN("Not Functioning"))="Not Functioning"</formula>
    </cfRule>
    <cfRule type="containsText" dxfId="1538" priority="2782" operator="containsText" text="Functioning">
      <formula>NOT(ISERROR(SEARCH("Functioning",B11)))</formula>
    </cfRule>
  </conditionalFormatting>
  <conditionalFormatting sqref="A35">
    <cfRule type="beginsWith" dxfId="1537" priority="2672" stopIfTrue="1" operator="beginsWith" text="Functioning At Risk">
      <formula>LEFT(A35,LEN("Functioning At Risk"))="Functioning At Risk"</formula>
    </cfRule>
    <cfRule type="beginsWith" dxfId="1536" priority="2673" stopIfTrue="1" operator="beginsWith" text="Not Functioning">
      <formula>LEFT(A35,LEN("Not Functioning"))="Not Functioning"</formula>
    </cfRule>
    <cfRule type="containsText" dxfId="1535" priority="2674" operator="containsText" text="Functioning">
      <formula>NOT(ISERROR(SEARCH("Functioning",A35)))</formula>
    </cfRule>
  </conditionalFormatting>
  <conditionalFormatting sqref="A33 A52:A53">
    <cfRule type="beginsWith" dxfId="1534" priority="2669" stopIfTrue="1" operator="beginsWith" text="Functioning At Risk">
      <formula>LEFT(A33,LEN("Functioning At Risk"))="Functioning At Risk"</formula>
    </cfRule>
    <cfRule type="beginsWith" dxfId="1533" priority="2670" stopIfTrue="1" operator="beginsWith" text="Not Functioning">
      <formula>LEFT(A33,LEN("Not Functioning"))="Not Functioning"</formula>
    </cfRule>
    <cfRule type="containsText" dxfId="1532" priority="2671" operator="containsText" text="Functioning">
      <formula>NOT(ISERROR(SEARCH("Functioning",A33)))</formula>
    </cfRule>
  </conditionalFormatting>
  <conditionalFormatting sqref="A48">
    <cfRule type="beginsWith" dxfId="1531" priority="2666" stopIfTrue="1" operator="beginsWith" text="Functioning At Risk">
      <formula>LEFT(A48,LEN("Functioning At Risk"))="Functioning At Risk"</formula>
    </cfRule>
    <cfRule type="beginsWith" dxfId="1530" priority="2667" stopIfTrue="1" operator="beginsWith" text="Not Functioning">
      <formula>LEFT(A48,LEN("Not Functioning"))="Not Functioning"</formula>
    </cfRule>
    <cfRule type="containsText" dxfId="1529" priority="2668" operator="containsText" text="Functioning">
      <formula>NOT(ISERROR(SEARCH("Functioning",A48)))</formula>
    </cfRule>
  </conditionalFormatting>
  <conditionalFormatting sqref="D52:D54 D39:D41 D33:D34 D44:D47">
    <cfRule type="beginsWith" dxfId="1528" priority="2663" stopIfTrue="1" operator="beginsWith" text="Functioning At Risk">
      <formula>LEFT(D33,LEN("Functioning At Risk"))="Functioning At Risk"</formula>
    </cfRule>
    <cfRule type="beginsWith" dxfId="1527" priority="2664" stopIfTrue="1" operator="beginsWith" text="Not Functioning">
      <formula>LEFT(D33,LEN("Not Functioning"))="Not Functioning"</formula>
    </cfRule>
    <cfRule type="containsText" dxfId="1526" priority="2665" operator="containsText" text="Functioning">
      <formula>NOT(ISERROR(SEARCH("Functioning",D33)))</formula>
    </cfRule>
  </conditionalFormatting>
  <conditionalFormatting sqref="D42">
    <cfRule type="beginsWith" dxfId="1525" priority="2657" stopIfTrue="1" operator="beginsWith" text="Functioning At Risk">
      <formula>LEFT(D42,LEN("Functioning At Risk"))="Functioning At Risk"</formula>
    </cfRule>
    <cfRule type="beginsWith" dxfId="1524" priority="2658" stopIfTrue="1" operator="beginsWith" text="Not Functioning">
      <formula>LEFT(D42,LEN("Not Functioning"))="Not Functioning"</formula>
    </cfRule>
    <cfRule type="containsText" dxfId="1523" priority="2659" operator="containsText" text="Functioning">
      <formula>NOT(ISERROR(SEARCH("Functioning",D42)))</formula>
    </cfRule>
  </conditionalFormatting>
  <conditionalFormatting sqref="D48">
    <cfRule type="beginsWith" dxfId="1522" priority="2660" stopIfTrue="1" operator="beginsWith" text="Functioning At Risk">
      <formula>LEFT(D48,LEN("Functioning At Risk"))="Functioning At Risk"</formula>
    </cfRule>
    <cfRule type="beginsWith" dxfId="1521" priority="2661" stopIfTrue="1" operator="beginsWith" text="Not Functioning">
      <formula>LEFT(D48,LEN("Not Functioning"))="Not Functioning"</formula>
    </cfRule>
    <cfRule type="containsText" dxfId="1520" priority="2662" operator="containsText" text="Functioning">
      <formula>NOT(ISERROR(SEARCH("Functioning",D48)))</formula>
    </cfRule>
  </conditionalFormatting>
  <conditionalFormatting sqref="D43">
    <cfRule type="beginsWith" dxfId="1519" priority="2654" stopIfTrue="1" operator="beginsWith" text="Functioning At Risk">
      <formula>LEFT(D43,LEN("Functioning At Risk"))="Functioning At Risk"</formula>
    </cfRule>
    <cfRule type="beginsWith" dxfId="1518" priority="2655" stopIfTrue="1" operator="beginsWith" text="Not Functioning">
      <formula>LEFT(D43,LEN("Not Functioning"))="Not Functioning"</formula>
    </cfRule>
    <cfRule type="containsText" dxfId="1517" priority="2656" operator="containsText" text="Functioning">
      <formula>NOT(ISERROR(SEARCH("Functioning",D43)))</formula>
    </cfRule>
  </conditionalFormatting>
  <conditionalFormatting sqref="D35">
    <cfRule type="beginsWith" dxfId="1516" priority="2651" stopIfTrue="1" operator="beginsWith" text="Functioning At Risk">
      <formula>LEFT(D35,LEN("Functioning At Risk"))="Functioning At Risk"</formula>
    </cfRule>
    <cfRule type="beginsWith" dxfId="1515" priority="2652" stopIfTrue="1" operator="beginsWith" text="Not Functioning">
      <formula>LEFT(D35,LEN("Not Functioning"))="Not Functioning"</formula>
    </cfRule>
    <cfRule type="containsText" dxfId="1514" priority="2653" operator="containsText" text="Functioning">
      <formula>NOT(ISERROR(SEARCH("Functioning",D35)))</formula>
    </cfRule>
  </conditionalFormatting>
  <conditionalFormatting sqref="B44:C44 B33:C33 B35 C34 B54 C45:C47 B49:B51">
    <cfRule type="beginsWith" dxfId="1513" priority="2642" stopIfTrue="1" operator="beginsWith" text="Functioning At Risk">
      <formula>LEFT(B33,LEN("Functioning At Risk"))="Functioning At Risk"</formula>
    </cfRule>
    <cfRule type="beginsWith" dxfId="1512" priority="2643" stopIfTrue="1" operator="beginsWith" text="Not Functioning">
      <formula>LEFT(B33,LEN("Not Functioning"))="Not Functioning"</formula>
    </cfRule>
    <cfRule type="containsText" dxfId="1511" priority="2644" operator="containsText" text="Functioning">
      <formula>NOT(ISERROR(SEARCH("Functioning",B33)))</formula>
    </cfRule>
  </conditionalFormatting>
  <conditionalFormatting sqref="B48">
    <cfRule type="beginsWith" dxfId="1510" priority="2636" stopIfTrue="1" operator="beginsWith" text="Functioning At Risk">
      <formula>LEFT(B48,LEN("Functioning At Risk"))="Functioning At Risk"</formula>
    </cfRule>
    <cfRule type="beginsWith" dxfId="1509" priority="2637" stopIfTrue="1" operator="beginsWith" text="Not Functioning">
      <formula>LEFT(B48,LEN("Not Functioning"))="Not Functioning"</formula>
    </cfRule>
    <cfRule type="containsText" dxfId="1508" priority="2638" operator="containsText" text="Functioning">
      <formula>NOT(ISERROR(SEARCH("Functioning",B48)))</formula>
    </cfRule>
  </conditionalFormatting>
  <conditionalFormatting sqref="B52">
    <cfRule type="beginsWith" dxfId="1507" priority="2633" stopIfTrue="1" operator="beginsWith" text="Functioning At Risk">
      <formula>LEFT(B52,LEN("Functioning At Risk"))="Functioning At Risk"</formula>
    </cfRule>
    <cfRule type="beginsWith" dxfId="1506" priority="2634" stopIfTrue="1" operator="beginsWith" text="Not Functioning">
      <formula>LEFT(B52,LEN("Not Functioning"))="Not Functioning"</formula>
    </cfRule>
    <cfRule type="containsText" dxfId="1505" priority="2635" operator="containsText" text="Functioning">
      <formula>NOT(ISERROR(SEARCH("Functioning",B52)))</formula>
    </cfRule>
  </conditionalFormatting>
  <conditionalFormatting sqref="C43">
    <cfRule type="beginsWith" dxfId="1504" priority="2621" stopIfTrue="1" operator="beginsWith" text="Functioning At Risk">
      <formula>LEFT(C43,LEN("Functioning At Risk"))="Functioning At Risk"</formula>
    </cfRule>
    <cfRule type="beginsWith" dxfId="1503" priority="2622" stopIfTrue="1" operator="beginsWith" text="Not Functioning">
      <formula>LEFT(C43,LEN("Not Functioning"))="Not Functioning"</formula>
    </cfRule>
    <cfRule type="containsText" dxfId="1502" priority="2623" operator="containsText" text="Functioning">
      <formula>NOT(ISERROR(SEARCH("Functioning",C43)))</formula>
    </cfRule>
  </conditionalFormatting>
  <conditionalFormatting sqref="C36">
    <cfRule type="beginsWith" dxfId="1501" priority="2609" stopIfTrue="1" operator="beginsWith" text="Functioning At Risk">
      <formula>LEFT(C36,LEN("Functioning At Risk"))="Functioning At Risk"</formula>
    </cfRule>
    <cfRule type="beginsWith" dxfId="1500" priority="2610" stopIfTrue="1" operator="beginsWith" text="Not Functioning">
      <formula>LEFT(C36,LEN("Not Functioning"))="Not Functioning"</formula>
    </cfRule>
    <cfRule type="containsText" dxfId="1499" priority="2611" operator="containsText" text="Functioning">
      <formula>NOT(ISERROR(SEARCH("Functioning",C36)))</formula>
    </cfRule>
  </conditionalFormatting>
  <conditionalFormatting sqref="B39:C40 B41">
    <cfRule type="beginsWith" dxfId="1498" priority="2624" stopIfTrue="1" operator="beginsWith" text="Functioning At Risk">
      <formula>LEFT(B39,LEN("Functioning At Risk"))="Functioning At Risk"</formula>
    </cfRule>
    <cfRule type="beginsWith" dxfId="1497" priority="2625" stopIfTrue="1" operator="beginsWith" text="Not Functioning">
      <formula>LEFT(B39,LEN("Not Functioning"))="Not Functioning"</formula>
    </cfRule>
    <cfRule type="containsText" dxfId="1496" priority="2626" operator="containsText" text="Functioning">
      <formula>NOT(ISERROR(SEARCH("Functioning",B39)))</formula>
    </cfRule>
  </conditionalFormatting>
  <conditionalFormatting sqref="C41">
    <cfRule type="beginsWith" dxfId="1495" priority="2618" stopIfTrue="1" operator="beginsWith" text="Functioning At Risk">
      <formula>LEFT(C41,LEN("Functioning At Risk"))="Functioning At Risk"</formula>
    </cfRule>
    <cfRule type="beginsWith" dxfId="1494" priority="2619" stopIfTrue="1" operator="beginsWith" text="Not Functioning">
      <formula>LEFT(C41,LEN("Not Functioning"))="Not Functioning"</formula>
    </cfRule>
    <cfRule type="containsText" dxfId="1493" priority="2620" operator="containsText" text="Functioning">
      <formula>NOT(ISERROR(SEARCH("Functioning",C41)))</formula>
    </cfRule>
  </conditionalFormatting>
  <conditionalFormatting sqref="C38">
    <cfRule type="beginsWith" dxfId="1492" priority="2612" stopIfTrue="1" operator="beginsWith" text="Functioning At Risk">
      <formula>LEFT(C38,LEN("Functioning At Risk"))="Functioning At Risk"</formula>
    </cfRule>
    <cfRule type="beginsWith" dxfId="1491" priority="2613" stopIfTrue="1" operator="beginsWith" text="Not Functioning">
      <formula>LEFT(C38,LEN("Not Functioning"))="Not Functioning"</formula>
    </cfRule>
    <cfRule type="containsText" dxfId="1490" priority="2614" operator="containsText" text="Functioning">
      <formula>NOT(ISERROR(SEARCH("Functioning",C38)))</formula>
    </cfRule>
  </conditionalFormatting>
  <conditionalFormatting sqref="A63">
    <cfRule type="beginsWith" dxfId="1489" priority="2606" stopIfTrue="1" operator="beginsWith" text="Functioning At Risk">
      <formula>LEFT(A63,LEN("Functioning At Risk"))="Functioning At Risk"</formula>
    </cfRule>
    <cfRule type="beginsWith" dxfId="1488" priority="2607" stopIfTrue="1" operator="beginsWith" text="Not Functioning">
      <formula>LEFT(A63,LEN("Not Functioning"))="Not Functioning"</formula>
    </cfRule>
    <cfRule type="containsText" dxfId="1487" priority="2608" operator="containsText" text="Functioning">
      <formula>NOT(ISERROR(SEARCH("Functioning",A63)))</formula>
    </cfRule>
  </conditionalFormatting>
  <conditionalFormatting sqref="A61 A80:A81">
    <cfRule type="beginsWith" dxfId="1486" priority="2603" stopIfTrue="1" operator="beginsWith" text="Functioning At Risk">
      <formula>LEFT(A61,LEN("Functioning At Risk"))="Functioning At Risk"</formula>
    </cfRule>
    <cfRule type="beginsWith" dxfId="1485" priority="2604" stopIfTrue="1" operator="beginsWith" text="Not Functioning">
      <formula>LEFT(A61,LEN("Not Functioning"))="Not Functioning"</formula>
    </cfRule>
    <cfRule type="containsText" dxfId="1484" priority="2605" operator="containsText" text="Functioning">
      <formula>NOT(ISERROR(SEARCH("Functioning",A61)))</formula>
    </cfRule>
  </conditionalFormatting>
  <conditionalFormatting sqref="A76">
    <cfRule type="beginsWith" dxfId="1483" priority="2600" stopIfTrue="1" operator="beginsWith" text="Functioning At Risk">
      <formula>LEFT(A76,LEN("Functioning At Risk"))="Functioning At Risk"</formula>
    </cfRule>
    <cfRule type="beginsWith" dxfId="1482" priority="2601" stopIfTrue="1" operator="beginsWith" text="Not Functioning">
      <formula>LEFT(A76,LEN("Not Functioning"))="Not Functioning"</formula>
    </cfRule>
    <cfRule type="containsText" dxfId="1481" priority="2602" operator="containsText" text="Functioning">
      <formula>NOT(ISERROR(SEARCH("Functioning",A76)))</formula>
    </cfRule>
  </conditionalFormatting>
  <conditionalFormatting sqref="D80:D82 D67:D69 D61:D62 D72:D75">
    <cfRule type="beginsWith" dxfId="1480" priority="2597" stopIfTrue="1" operator="beginsWith" text="Functioning At Risk">
      <formula>LEFT(D61,LEN("Functioning At Risk"))="Functioning At Risk"</formula>
    </cfRule>
    <cfRule type="beginsWith" dxfId="1479" priority="2598" stopIfTrue="1" operator="beginsWith" text="Not Functioning">
      <formula>LEFT(D61,LEN("Not Functioning"))="Not Functioning"</formula>
    </cfRule>
    <cfRule type="containsText" dxfId="1478" priority="2599" operator="containsText" text="Functioning">
      <formula>NOT(ISERROR(SEARCH("Functioning",D61)))</formula>
    </cfRule>
  </conditionalFormatting>
  <conditionalFormatting sqref="D76">
    <cfRule type="beginsWith" dxfId="1477" priority="2594" stopIfTrue="1" operator="beginsWith" text="Functioning At Risk">
      <formula>LEFT(D76,LEN("Functioning At Risk"))="Functioning At Risk"</formula>
    </cfRule>
    <cfRule type="beginsWith" dxfId="1476" priority="2595" stopIfTrue="1" operator="beginsWith" text="Not Functioning">
      <formula>LEFT(D76,LEN("Not Functioning"))="Not Functioning"</formula>
    </cfRule>
    <cfRule type="containsText" dxfId="1475" priority="2596" operator="containsText" text="Functioning">
      <formula>NOT(ISERROR(SEARCH("Functioning",D76)))</formula>
    </cfRule>
  </conditionalFormatting>
  <conditionalFormatting sqref="D71">
    <cfRule type="beginsWith" dxfId="1474" priority="2588" stopIfTrue="1" operator="beginsWith" text="Functioning At Risk">
      <formula>LEFT(D71,LEN("Functioning At Risk"))="Functioning At Risk"</formula>
    </cfRule>
    <cfRule type="beginsWith" dxfId="1473" priority="2589" stopIfTrue="1" operator="beginsWith" text="Not Functioning">
      <formula>LEFT(D71,LEN("Not Functioning"))="Not Functioning"</formula>
    </cfRule>
    <cfRule type="containsText" dxfId="1472" priority="2590" operator="containsText" text="Functioning">
      <formula>NOT(ISERROR(SEARCH("Functioning",D71)))</formula>
    </cfRule>
  </conditionalFormatting>
  <conditionalFormatting sqref="D63">
    <cfRule type="beginsWith" dxfId="1471" priority="2585" stopIfTrue="1" operator="beginsWith" text="Functioning At Risk">
      <formula>LEFT(D63,LEN("Functioning At Risk"))="Functioning At Risk"</formula>
    </cfRule>
    <cfRule type="beginsWith" dxfId="1470" priority="2586" stopIfTrue="1" operator="beginsWith" text="Not Functioning">
      <formula>LEFT(D63,LEN("Not Functioning"))="Not Functioning"</formula>
    </cfRule>
    <cfRule type="containsText" dxfId="1469" priority="2587" operator="containsText" text="Functioning">
      <formula>NOT(ISERROR(SEARCH("Functioning",D63)))</formula>
    </cfRule>
  </conditionalFormatting>
  <conditionalFormatting sqref="D64">
    <cfRule type="beginsWith" dxfId="1468" priority="2579" stopIfTrue="1" operator="beginsWith" text="Functioning At Risk">
      <formula>LEFT(D64,LEN("Functioning At Risk"))="Functioning At Risk"</formula>
    </cfRule>
    <cfRule type="beginsWith" dxfId="1467" priority="2580" stopIfTrue="1" operator="beginsWith" text="Not Functioning">
      <formula>LEFT(D64,LEN("Not Functioning"))="Not Functioning"</formula>
    </cfRule>
    <cfRule type="containsText" dxfId="1466" priority="2581" operator="containsText" text="Functioning">
      <formula>NOT(ISERROR(SEARCH("Functioning",D64)))</formula>
    </cfRule>
  </conditionalFormatting>
  <conditionalFormatting sqref="D66">
    <cfRule type="beginsWith" dxfId="1465" priority="2582" stopIfTrue="1" operator="beginsWith" text="Functioning At Risk">
      <formula>LEFT(D66,LEN("Functioning At Risk"))="Functioning At Risk"</formula>
    </cfRule>
    <cfRule type="beginsWith" dxfId="1464" priority="2583" stopIfTrue="1" operator="beginsWith" text="Not Functioning">
      <formula>LEFT(D66,LEN("Not Functioning"))="Not Functioning"</formula>
    </cfRule>
    <cfRule type="containsText" dxfId="1463" priority="2584" operator="containsText" text="Functioning">
      <formula>NOT(ISERROR(SEARCH("Functioning",D66)))</formula>
    </cfRule>
  </conditionalFormatting>
  <conditionalFormatting sqref="B64">
    <cfRule type="beginsWith" dxfId="1462" priority="2573" stopIfTrue="1" operator="beginsWith" text="Functioning At Risk">
      <formula>LEFT(B64,LEN("Functioning At Risk"))="Functioning At Risk"</formula>
    </cfRule>
    <cfRule type="beginsWith" dxfId="1461" priority="2574" stopIfTrue="1" operator="beginsWith" text="Not Functioning">
      <formula>LEFT(B64,LEN("Not Functioning"))="Not Functioning"</formula>
    </cfRule>
    <cfRule type="containsText" dxfId="1460" priority="2575" operator="containsText" text="Functioning">
      <formula>NOT(ISERROR(SEARCH("Functioning",B64)))</formula>
    </cfRule>
  </conditionalFormatting>
  <conditionalFormatting sqref="B76">
    <cfRule type="beginsWith" dxfId="1459" priority="2570" stopIfTrue="1" operator="beginsWith" text="Functioning At Risk">
      <formula>LEFT(B76,LEN("Functioning At Risk"))="Functioning At Risk"</formula>
    </cfRule>
    <cfRule type="beginsWith" dxfId="1458" priority="2571" stopIfTrue="1" operator="beginsWith" text="Not Functioning">
      <formula>LEFT(B76,LEN("Not Functioning"))="Not Functioning"</formula>
    </cfRule>
    <cfRule type="containsText" dxfId="1457" priority="2572" operator="containsText" text="Functioning">
      <formula>NOT(ISERROR(SEARCH("Functioning",B76)))</formula>
    </cfRule>
  </conditionalFormatting>
  <conditionalFormatting sqref="B80">
    <cfRule type="beginsWith" dxfId="1456" priority="2567" stopIfTrue="1" operator="beginsWith" text="Functioning At Risk">
      <formula>LEFT(B80,LEN("Functioning At Risk"))="Functioning At Risk"</formula>
    </cfRule>
    <cfRule type="beginsWith" dxfId="1455" priority="2568" stopIfTrue="1" operator="beginsWith" text="Not Functioning">
      <formula>LEFT(B80,LEN("Not Functioning"))="Not Functioning"</formula>
    </cfRule>
    <cfRule type="containsText" dxfId="1454" priority="2569" operator="containsText" text="Functioning">
      <formula>NOT(ISERROR(SEARCH("Functioning",B80)))</formula>
    </cfRule>
  </conditionalFormatting>
  <conditionalFormatting sqref="C63">
    <cfRule type="beginsWith" dxfId="1453" priority="2564" stopIfTrue="1" operator="beginsWith" text="Functioning At Risk">
      <formula>LEFT(C63,LEN("Functioning At Risk"))="Functioning At Risk"</formula>
    </cfRule>
    <cfRule type="beginsWith" dxfId="1452" priority="2565" stopIfTrue="1" operator="beginsWith" text="Not Functioning">
      <formula>LEFT(C63,LEN("Not Functioning"))="Not Functioning"</formula>
    </cfRule>
    <cfRule type="containsText" dxfId="1451" priority="2566" operator="containsText" text="Functioning">
      <formula>NOT(ISERROR(SEARCH("Functioning",C63)))</formula>
    </cfRule>
  </conditionalFormatting>
  <conditionalFormatting sqref="C71">
    <cfRule type="beginsWith" dxfId="1450" priority="2555" stopIfTrue="1" operator="beginsWith" text="Functioning At Risk">
      <formula>LEFT(C71,LEN("Functioning At Risk"))="Functioning At Risk"</formula>
    </cfRule>
    <cfRule type="beginsWith" dxfId="1449" priority="2556" stopIfTrue="1" operator="beginsWith" text="Not Functioning">
      <formula>LEFT(C71,LEN("Not Functioning"))="Not Functioning"</formula>
    </cfRule>
    <cfRule type="containsText" dxfId="1448" priority="2557" operator="containsText" text="Functioning">
      <formula>NOT(ISERROR(SEARCH("Functioning",C71)))</formula>
    </cfRule>
  </conditionalFormatting>
  <conditionalFormatting sqref="C64">
    <cfRule type="beginsWith" dxfId="1447" priority="2543" stopIfTrue="1" operator="beginsWith" text="Functioning At Risk">
      <formula>LEFT(C64,LEN("Functioning At Risk"))="Functioning At Risk"</formula>
    </cfRule>
    <cfRule type="beginsWith" dxfId="1446" priority="2544" stopIfTrue="1" operator="beginsWith" text="Not Functioning">
      <formula>LEFT(C64,LEN("Not Functioning"))="Not Functioning"</formula>
    </cfRule>
    <cfRule type="containsText" dxfId="1445" priority="2545" operator="containsText" text="Functioning">
      <formula>NOT(ISERROR(SEARCH("Functioning",C64)))</formula>
    </cfRule>
  </conditionalFormatting>
  <conditionalFormatting sqref="B67:C68 B69">
    <cfRule type="beginsWith" dxfId="1444" priority="2558" stopIfTrue="1" operator="beginsWith" text="Functioning At Risk">
      <formula>LEFT(B67,LEN("Functioning At Risk"))="Functioning At Risk"</formula>
    </cfRule>
    <cfRule type="beginsWith" dxfId="1443" priority="2559" stopIfTrue="1" operator="beginsWith" text="Not Functioning">
      <formula>LEFT(B67,LEN("Not Functioning"))="Not Functioning"</formula>
    </cfRule>
    <cfRule type="containsText" dxfId="1442" priority="2560" operator="containsText" text="Functioning">
      <formula>NOT(ISERROR(SEARCH("Functioning",B67)))</formula>
    </cfRule>
  </conditionalFormatting>
  <conditionalFormatting sqref="C69">
    <cfRule type="beginsWith" dxfId="1441" priority="2552" stopIfTrue="1" operator="beginsWith" text="Functioning At Risk">
      <formula>LEFT(C69,LEN("Functioning At Risk"))="Functioning At Risk"</formula>
    </cfRule>
    <cfRule type="beginsWith" dxfId="1440" priority="2553" stopIfTrue="1" operator="beginsWith" text="Not Functioning">
      <formula>LEFT(C69,LEN("Not Functioning"))="Not Functioning"</formula>
    </cfRule>
    <cfRule type="containsText" dxfId="1439" priority="2554" operator="containsText" text="Functioning">
      <formula>NOT(ISERROR(SEARCH("Functioning",C69)))</formula>
    </cfRule>
  </conditionalFormatting>
  <conditionalFormatting sqref="C66">
    <cfRule type="beginsWith" dxfId="1438" priority="2546" stopIfTrue="1" operator="beginsWith" text="Functioning At Risk">
      <formula>LEFT(C66,LEN("Functioning At Risk"))="Functioning At Risk"</formula>
    </cfRule>
    <cfRule type="beginsWith" dxfId="1437" priority="2547" stopIfTrue="1" operator="beginsWith" text="Not Functioning">
      <formula>LEFT(C66,LEN("Not Functioning"))="Not Functioning"</formula>
    </cfRule>
    <cfRule type="containsText" dxfId="1436" priority="2548" operator="containsText" text="Functioning">
      <formula>NOT(ISERROR(SEARCH("Functioning",C66)))</formula>
    </cfRule>
  </conditionalFormatting>
  <conditionalFormatting sqref="A91">
    <cfRule type="beginsWith" dxfId="1435" priority="2540" stopIfTrue="1" operator="beginsWith" text="Functioning At Risk">
      <formula>LEFT(A91,LEN("Functioning At Risk"))="Functioning At Risk"</formula>
    </cfRule>
    <cfRule type="beginsWith" dxfId="1434" priority="2541" stopIfTrue="1" operator="beginsWith" text="Not Functioning">
      <formula>LEFT(A91,LEN("Not Functioning"))="Not Functioning"</formula>
    </cfRule>
    <cfRule type="containsText" dxfId="1433" priority="2542" operator="containsText" text="Functioning">
      <formula>NOT(ISERROR(SEARCH("Functioning",A91)))</formula>
    </cfRule>
  </conditionalFormatting>
  <conditionalFormatting sqref="A89 A108:A109">
    <cfRule type="beginsWith" dxfId="1432" priority="2537" stopIfTrue="1" operator="beginsWith" text="Functioning At Risk">
      <formula>LEFT(A89,LEN("Functioning At Risk"))="Functioning At Risk"</formula>
    </cfRule>
    <cfRule type="beginsWith" dxfId="1431" priority="2538" stopIfTrue="1" operator="beginsWith" text="Not Functioning">
      <formula>LEFT(A89,LEN("Not Functioning"))="Not Functioning"</formula>
    </cfRule>
    <cfRule type="containsText" dxfId="1430" priority="2539" operator="containsText" text="Functioning">
      <formula>NOT(ISERROR(SEARCH("Functioning",A89)))</formula>
    </cfRule>
  </conditionalFormatting>
  <conditionalFormatting sqref="A104">
    <cfRule type="beginsWith" dxfId="1429" priority="2534" stopIfTrue="1" operator="beginsWith" text="Functioning At Risk">
      <formula>LEFT(A104,LEN("Functioning At Risk"))="Functioning At Risk"</formula>
    </cfRule>
    <cfRule type="beginsWith" dxfId="1428" priority="2535" stopIfTrue="1" operator="beginsWith" text="Not Functioning">
      <formula>LEFT(A104,LEN("Not Functioning"))="Not Functioning"</formula>
    </cfRule>
    <cfRule type="containsText" dxfId="1427" priority="2536" operator="containsText" text="Functioning">
      <formula>NOT(ISERROR(SEARCH("Functioning",A104)))</formula>
    </cfRule>
  </conditionalFormatting>
  <conditionalFormatting sqref="D108:D110 D95:D97 D89:D90 D100:D103">
    <cfRule type="beginsWith" dxfId="1426" priority="2531" stopIfTrue="1" operator="beginsWith" text="Functioning At Risk">
      <formula>LEFT(D89,LEN("Functioning At Risk"))="Functioning At Risk"</formula>
    </cfRule>
    <cfRule type="beginsWith" dxfId="1425" priority="2532" stopIfTrue="1" operator="beginsWith" text="Not Functioning">
      <formula>LEFT(D89,LEN("Not Functioning"))="Not Functioning"</formula>
    </cfRule>
    <cfRule type="containsText" dxfId="1424" priority="2533" operator="containsText" text="Functioning">
      <formula>NOT(ISERROR(SEARCH("Functioning",D89)))</formula>
    </cfRule>
  </conditionalFormatting>
  <conditionalFormatting sqref="D98">
    <cfRule type="beginsWith" dxfId="1423" priority="2525" stopIfTrue="1" operator="beginsWith" text="Functioning At Risk">
      <formula>LEFT(D98,LEN("Functioning At Risk"))="Functioning At Risk"</formula>
    </cfRule>
    <cfRule type="beginsWith" dxfId="1422" priority="2526" stopIfTrue="1" operator="beginsWith" text="Not Functioning">
      <formula>LEFT(D98,LEN("Not Functioning"))="Not Functioning"</formula>
    </cfRule>
    <cfRule type="containsText" dxfId="1421" priority="2527" operator="containsText" text="Functioning">
      <formula>NOT(ISERROR(SEARCH("Functioning",D98)))</formula>
    </cfRule>
  </conditionalFormatting>
  <conditionalFormatting sqref="D104">
    <cfRule type="beginsWith" dxfId="1420" priority="2528" stopIfTrue="1" operator="beginsWith" text="Functioning At Risk">
      <formula>LEFT(D104,LEN("Functioning At Risk"))="Functioning At Risk"</formula>
    </cfRule>
    <cfRule type="beginsWith" dxfId="1419" priority="2529" stopIfTrue="1" operator="beginsWith" text="Not Functioning">
      <formula>LEFT(D104,LEN("Not Functioning"))="Not Functioning"</formula>
    </cfRule>
    <cfRule type="containsText" dxfId="1418" priority="2530" operator="containsText" text="Functioning">
      <formula>NOT(ISERROR(SEARCH("Functioning",D104)))</formula>
    </cfRule>
  </conditionalFormatting>
  <conditionalFormatting sqref="D99">
    <cfRule type="beginsWith" dxfId="1417" priority="2522" stopIfTrue="1" operator="beginsWith" text="Functioning At Risk">
      <formula>LEFT(D99,LEN("Functioning At Risk"))="Functioning At Risk"</formula>
    </cfRule>
    <cfRule type="beginsWith" dxfId="1416" priority="2523" stopIfTrue="1" operator="beginsWith" text="Not Functioning">
      <formula>LEFT(D99,LEN("Not Functioning"))="Not Functioning"</formula>
    </cfRule>
    <cfRule type="containsText" dxfId="1415" priority="2524" operator="containsText" text="Functioning">
      <formula>NOT(ISERROR(SEARCH("Functioning",D99)))</formula>
    </cfRule>
  </conditionalFormatting>
  <conditionalFormatting sqref="D91">
    <cfRule type="beginsWith" dxfId="1414" priority="2519" stopIfTrue="1" operator="beginsWith" text="Functioning At Risk">
      <formula>LEFT(D91,LEN("Functioning At Risk"))="Functioning At Risk"</formula>
    </cfRule>
    <cfRule type="beginsWith" dxfId="1413" priority="2520" stopIfTrue="1" operator="beginsWith" text="Not Functioning">
      <formula>LEFT(D91,LEN("Not Functioning"))="Not Functioning"</formula>
    </cfRule>
    <cfRule type="containsText" dxfId="1412" priority="2521" operator="containsText" text="Functioning">
      <formula>NOT(ISERROR(SEARCH("Functioning",D91)))</formula>
    </cfRule>
  </conditionalFormatting>
  <conditionalFormatting sqref="D94">
    <cfRule type="beginsWith" dxfId="1411" priority="2516" stopIfTrue="1" operator="beginsWith" text="Functioning At Risk">
      <formula>LEFT(D94,LEN("Functioning At Risk"))="Functioning At Risk"</formula>
    </cfRule>
    <cfRule type="beginsWith" dxfId="1410" priority="2517" stopIfTrue="1" operator="beginsWith" text="Not Functioning">
      <formula>LEFT(D94,LEN("Not Functioning"))="Not Functioning"</formula>
    </cfRule>
    <cfRule type="containsText" dxfId="1409" priority="2518" operator="containsText" text="Functioning">
      <formula>NOT(ISERROR(SEARCH("Functioning",D94)))</formula>
    </cfRule>
  </conditionalFormatting>
  <conditionalFormatting sqref="B100:C100 B89:C89 B91 C90 B110 C101:C103 B105:B107">
    <cfRule type="beginsWith" dxfId="1408" priority="2510" stopIfTrue="1" operator="beginsWith" text="Functioning At Risk">
      <formula>LEFT(B89,LEN("Functioning At Risk"))="Functioning At Risk"</formula>
    </cfRule>
    <cfRule type="beginsWith" dxfId="1407" priority="2511" stopIfTrue="1" operator="beginsWith" text="Not Functioning">
      <formula>LEFT(B89,LEN("Not Functioning"))="Not Functioning"</formula>
    </cfRule>
    <cfRule type="containsText" dxfId="1406" priority="2512" operator="containsText" text="Functioning">
      <formula>NOT(ISERROR(SEARCH("Functioning",B89)))</formula>
    </cfRule>
  </conditionalFormatting>
  <conditionalFormatting sqref="B104">
    <cfRule type="beginsWith" dxfId="1405" priority="2504" stopIfTrue="1" operator="beginsWith" text="Functioning At Risk">
      <formula>LEFT(B104,LEN("Functioning At Risk"))="Functioning At Risk"</formula>
    </cfRule>
    <cfRule type="beginsWith" dxfId="1404" priority="2505" stopIfTrue="1" operator="beginsWith" text="Not Functioning">
      <formula>LEFT(B104,LEN("Not Functioning"))="Not Functioning"</formula>
    </cfRule>
    <cfRule type="containsText" dxfId="1403" priority="2506" operator="containsText" text="Functioning">
      <formula>NOT(ISERROR(SEARCH("Functioning",B104)))</formula>
    </cfRule>
  </conditionalFormatting>
  <conditionalFormatting sqref="B108">
    <cfRule type="beginsWith" dxfId="1402" priority="2501" stopIfTrue="1" operator="beginsWith" text="Functioning At Risk">
      <formula>LEFT(B108,LEN("Functioning At Risk"))="Functioning At Risk"</formula>
    </cfRule>
    <cfRule type="beginsWith" dxfId="1401" priority="2502" stopIfTrue="1" operator="beginsWith" text="Not Functioning">
      <formula>LEFT(B108,LEN("Not Functioning"))="Not Functioning"</formula>
    </cfRule>
    <cfRule type="containsText" dxfId="1400" priority="2503" operator="containsText" text="Functioning">
      <formula>NOT(ISERROR(SEARCH("Functioning",B108)))</formula>
    </cfRule>
  </conditionalFormatting>
  <conditionalFormatting sqref="C91">
    <cfRule type="beginsWith" dxfId="1399" priority="2498" stopIfTrue="1" operator="beginsWith" text="Functioning At Risk">
      <formula>LEFT(C91,LEN("Functioning At Risk"))="Functioning At Risk"</formula>
    </cfRule>
    <cfRule type="beginsWith" dxfId="1398" priority="2499" stopIfTrue="1" operator="beginsWith" text="Not Functioning">
      <formula>LEFT(C91,LEN("Not Functioning"))="Not Functioning"</formula>
    </cfRule>
    <cfRule type="containsText" dxfId="1397" priority="2500" operator="containsText" text="Functioning">
      <formula>NOT(ISERROR(SEARCH("Functioning",C91)))</formula>
    </cfRule>
  </conditionalFormatting>
  <conditionalFormatting sqref="C99">
    <cfRule type="beginsWith" dxfId="1396" priority="2489" stopIfTrue="1" operator="beginsWith" text="Functioning At Risk">
      <formula>LEFT(C99,LEN("Functioning At Risk"))="Functioning At Risk"</formula>
    </cfRule>
    <cfRule type="beginsWith" dxfId="1395" priority="2490" stopIfTrue="1" operator="beginsWith" text="Not Functioning">
      <formula>LEFT(C99,LEN("Not Functioning"))="Not Functioning"</formula>
    </cfRule>
    <cfRule type="containsText" dxfId="1394" priority="2491" operator="containsText" text="Functioning">
      <formula>NOT(ISERROR(SEARCH("Functioning",C99)))</formula>
    </cfRule>
  </conditionalFormatting>
  <conditionalFormatting sqref="C92">
    <cfRule type="beginsWith" dxfId="1393" priority="2477" stopIfTrue="1" operator="beginsWith" text="Functioning At Risk">
      <formula>LEFT(C92,LEN("Functioning At Risk"))="Functioning At Risk"</formula>
    </cfRule>
    <cfRule type="beginsWith" dxfId="1392" priority="2478" stopIfTrue="1" operator="beginsWith" text="Not Functioning">
      <formula>LEFT(C92,LEN("Not Functioning"))="Not Functioning"</formula>
    </cfRule>
    <cfRule type="containsText" dxfId="1391" priority="2479" operator="containsText" text="Functioning">
      <formula>NOT(ISERROR(SEARCH("Functioning",C92)))</formula>
    </cfRule>
  </conditionalFormatting>
  <conditionalFormatting sqref="B95:C96 B97">
    <cfRule type="beginsWith" dxfId="1390" priority="2492" stopIfTrue="1" operator="beginsWith" text="Functioning At Risk">
      <formula>LEFT(B95,LEN("Functioning At Risk"))="Functioning At Risk"</formula>
    </cfRule>
    <cfRule type="beginsWith" dxfId="1389" priority="2493" stopIfTrue="1" operator="beginsWith" text="Not Functioning">
      <formula>LEFT(B95,LEN("Not Functioning"))="Not Functioning"</formula>
    </cfRule>
    <cfRule type="containsText" dxfId="1388" priority="2494" operator="containsText" text="Functioning">
      <formula>NOT(ISERROR(SEARCH("Functioning",B95)))</formula>
    </cfRule>
  </conditionalFormatting>
  <conditionalFormatting sqref="C97">
    <cfRule type="beginsWith" dxfId="1387" priority="2486" stopIfTrue="1" operator="beginsWith" text="Functioning At Risk">
      <formula>LEFT(C97,LEN("Functioning At Risk"))="Functioning At Risk"</formula>
    </cfRule>
    <cfRule type="beginsWith" dxfId="1386" priority="2487" stopIfTrue="1" operator="beginsWith" text="Not Functioning">
      <formula>LEFT(C97,LEN("Not Functioning"))="Not Functioning"</formula>
    </cfRule>
    <cfRule type="containsText" dxfId="1385" priority="2488" operator="containsText" text="Functioning">
      <formula>NOT(ISERROR(SEARCH("Functioning",C97)))</formula>
    </cfRule>
  </conditionalFormatting>
  <conditionalFormatting sqref="C94">
    <cfRule type="beginsWith" dxfId="1384" priority="2480" stopIfTrue="1" operator="beginsWith" text="Functioning At Risk">
      <formula>LEFT(C94,LEN("Functioning At Risk"))="Functioning At Risk"</formula>
    </cfRule>
    <cfRule type="beginsWith" dxfId="1383" priority="2481" stopIfTrue="1" operator="beginsWith" text="Not Functioning">
      <formula>LEFT(C94,LEN("Not Functioning"))="Not Functioning"</formula>
    </cfRule>
    <cfRule type="containsText" dxfId="1382" priority="2482" operator="containsText" text="Functioning">
      <formula>NOT(ISERROR(SEARCH("Functioning",C94)))</formula>
    </cfRule>
  </conditionalFormatting>
  <conditionalFormatting sqref="A119">
    <cfRule type="beginsWith" dxfId="1381" priority="2474" stopIfTrue="1" operator="beginsWith" text="Functioning At Risk">
      <formula>LEFT(A119,LEN("Functioning At Risk"))="Functioning At Risk"</formula>
    </cfRule>
    <cfRule type="beginsWith" dxfId="1380" priority="2475" stopIfTrue="1" operator="beginsWith" text="Not Functioning">
      <formula>LEFT(A119,LEN("Not Functioning"))="Not Functioning"</formula>
    </cfRule>
    <cfRule type="containsText" dxfId="1379" priority="2476" operator="containsText" text="Functioning">
      <formula>NOT(ISERROR(SEARCH("Functioning",A119)))</formula>
    </cfRule>
  </conditionalFormatting>
  <conditionalFormatting sqref="A117 A136:A137">
    <cfRule type="beginsWith" dxfId="1378" priority="2471" stopIfTrue="1" operator="beginsWith" text="Functioning At Risk">
      <formula>LEFT(A117,LEN("Functioning At Risk"))="Functioning At Risk"</formula>
    </cfRule>
    <cfRule type="beginsWith" dxfId="1377" priority="2472" stopIfTrue="1" operator="beginsWith" text="Not Functioning">
      <formula>LEFT(A117,LEN("Not Functioning"))="Not Functioning"</formula>
    </cfRule>
    <cfRule type="containsText" dxfId="1376" priority="2473" operator="containsText" text="Functioning">
      <formula>NOT(ISERROR(SEARCH("Functioning",A117)))</formula>
    </cfRule>
  </conditionalFormatting>
  <conditionalFormatting sqref="A132">
    <cfRule type="beginsWith" dxfId="1375" priority="2468" stopIfTrue="1" operator="beginsWith" text="Functioning At Risk">
      <formula>LEFT(A132,LEN("Functioning At Risk"))="Functioning At Risk"</formula>
    </cfRule>
    <cfRule type="beginsWith" dxfId="1374" priority="2469" stopIfTrue="1" operator="beginsWith" text="Not Functioning">
      <formula>LEFT(A132,LEN("Not Functioning"))="Not Functioning"</formula>
    </cfRule>
    <cfRule type="containsText" dxfId="1373" priority="2470" operator="containsText" text="Functioning">
      <formula>NOT(ISERROR(SEARCH("Functioning",A132)))</formula>
    </cfRule>
  </conditionalFormatting>
  <conditionalFormatting sqref="D136:D138 D123:D125 D117:D118 D128:D131">
    <cfRule type="beginsWith" dxfId="1372" priority="2465" stopIfTrue="1" operator="beginsWith" text="Functioning At Risk">
      <formula>LEFT(D117,LEN("Functioning At Risk"))="Functioning At Risk"</formula>
    </cfRule>
    <cfRule type="beginsWith" dxfId="1371" priority="2466" stopIfTrue="1" operator="beginsWith" text="Not Functioning">
      <formula>LEFT(D117,LEN("Not Functioning"))="Not Functioning"</formula>
    </cfRule>
    <cfRule type="containsText" dxfId="1370" priority="2467" operator="containsText" text="Functioning">
      <formula>NOT(ISERROR(SEARCH("Functioning",D117)))</formula>
    </cfRule>
  </conditionalFormatting>
  <conditionalFormatting sqref="D126">
    <cfRule type="beginsWith" dxfId="1369" priority="2459" stopIfTrue="1" operator="beginsWith" text="Functioning At Risk">
      <formula>LEFT(D126,LEN("Functioning At Risk"))="Functioning At Risk"</formula>
    </cfRule>
    <cfRule type="beginsWith" dxfId="1368" priority="2460" stopIfTrue="1" operator="beginsWith" text="Not Functioning">
      <formula>LEFT(D126,LEN("Not Functioning"))="Not Functioning"</formula>
    </cfRule>
    <cfRule type="containsText" dxfId="1367" priority="2461" operator="containsText" text="Functioning">
      <formula>NOT(ISERROR(SEARCH("Functioning",D126)))</formula>
    </cfRule>
  </conditionalFormatting>
  <conditionalFormatting sqref="D132">
    <cfRule type="beginsWith" dxfId="1366" priority="2462" stopIfTrue="1" operator="beginsWith" text="Functioning At Risk">
      <formula>LEFT(D132,LEN("Functioning At Risk"))="Functioning At Risk"</formula>
    </cfRule>
    <cfRule type="beginsWith" dxfId="1365" priority="2463" stopIfTrue="1" operator="beginsWith" text="Not Functioning">
      <formula>LEFT(D132,LEN("Not Functioning"))="Not Functioning"</formula>
    </cfRule>
    <cfRule type="containsText" dxfId="1364" priority="2464" operator="containsText" text="Functioning">
      <formula>NOT(ISERROR(SEARCH("Functioning",D132)))</formula>
    </cfRule>
  </conditionalFormatting>
  <conditionalFormatting sqref="D127">
    <cfRule type="beginsWith" dxfId="1363" priority="2456" stopIfTrue="1" operator="beginsWith" text="Functioning At Risk">
      <formula>LEFT(D127,LEN("Functioning At Risk"))="Functioning At Risk"</formula>
    </cfRule>
    <cfRule type="beginsWith" dxfId="1362" priority="2457" stopIfTrue="1" operator="beginsWith" text="Not Functioning">
      <formula>LEFT(D127,LEN("Not Functioning"))="Not Functioning"</formula>
    </cfRule>
    <cfRule type="containsText" dxfId="1361" priority="2458" operator="containsText" text="Functioning">
      <formula>NOT(ISERROR(SEARCH("Functioning",D127)))</formula>
    </cfRule>
  </conditionalFormatting>
  <conditionalFormatting sqref="D119">
    <cfRule type="beginsWith" dxfId="1360" priority="2453" stopIfTrue="1" operator="beginsWith" text="Functioning At Risk">
      <formula>LEFT(D119,LEN("Functioning At Risk"))="Functioning At Risk"</formula>
    </cfRule>
    <cfRule type="beginsWith" dxfId="1359" priority="2454" stopIfTrue="1" operator="beginsWith" text="Not Functioning">
      <formula>LEFT(D119,LEN("Not Functioning"))="Not Functioning"</formula>
    </cfRule>
    <cfRule type="containsText" dxfId="1358" priority="2455" operator="containsText" text="Functioning">
      <formula>NOT(ISERROR(SEARCH("Functioning",D119)))</formula>
    </cfRule>
  </conditionalFormatting>
  <conditionalFormatting sqref="D120">
    <cfRule type="beginsWith" dxfId="1357" priority="2447" stopIfTrue="1" operator="beginsWith" text="Functioning At Risk">
      <formula>LEFT(D120,LEN("Functioning At Risk"))="Functioning At Risk"</formula>
    </cfRule>
    <cfRule type="beginsWith" dxfId="1356" priority="2448" stopIfTrue="1" operator="beginsWith" text="Not Functioning">
      <formula>LEFT(D120,LEN("Not Functioning"))="Not Functioning"</formula>
    </cfRule>
    <cfRule type="containsText" dxfId="1355" priority="2449" operator="containsText" text="Functioning">
      <formula>NOT(ISERROR(SEARCH("Functioning",D120)))</formula>
    </cfRule>
  </conditionalFormatting>
  <conditionalFormatting sqref="B128:C128 B117:C117 B119 C118 B138 C129:C131 B133:B135">
    <cfRule type="beginsWith" dxfId="1354" priority="2444" stopIfTrue="1" operator="beginsWith" text="Functioning At Risk">
      <formula>LEFT(B117,LEN("Functioning At Risk"))="Functioning At Risk"</formula>
    </cfRule>
    <cfRule type="beginsWith" dxfId="1353" priority="2445" stopIfTrue="1" operator="beginsWith" text="Not Functioning">
      <formula>LEFT(B117,LEN("Not Functioning"))="Not Functioning"</formula>
    </cfRule>
    <cfRule type="containsText" dxfId="1352" priority="2446" operator="containsText" text="Functioning">
      <formula>NOT(ISERROR(SEARCH("Functioning",B117)))</formula>
    </cfRule>
  </conditionalFormatting>
  <conditionalFormatting sqref="B120">
    <cfRule type="beginsWith" dxfId="1351" priority="2441" stopIfTrue="1" operator="beginsWith" text="Functioning At Risk">
      <formula>LEFT(B120,LEN("Functioning At Risk"))="Functioning At Risk"</formula>
    </cfRule>
    <cfRule type="beginsWith" dxfId="1350" priority="2442" stopIfTrue="1" operator="beginsWith" text="Not Functioning">
      <formula>LEFT(B120,LEN("Not Functioning"))="Not Functioning"</formula>
    </cfRule>
    <cfRule type="containsText" dxfId="1349" priority="2443" operator="containsText" text="Functioning">
      <formula>NOT(ISERROR(SEARCH("Functioning",B120)))</formula>
    </cfRule>
  </conditionalFormatting>
  <conditionalFormatting sqref="B136">
    <cfRule type="beginsWith" dxfId="1348" priority="2435" stopIfTrue="1" operator="beginsWith" text="Functioning At Risk">
      <formula>LEFT(B136,LEN("Functioning At Risk"))="Functioning At Risk"</formula>
    </cfRule>
    <cfRule type="beginsWith" dxfId="1347" priority="2436" stopIfTrue="1" operator="beginsWith" text="Not Functioning">
      <formula>LEFT(B136,LEN("Not Functioning"))="Not Functioning"</formula>
    </cfRule>
    <cfRule type="containsText" dxfId="1346" priority="2437" operator="containsText" text="Functioning">
      <formula>NOT(ISERROR(SEARCH("Functioning",B136)))</formula>
    </cfRule>
  </conditionalFormatting>
  <conditionalFormatting sqref="C119">
    <cfRule type="beginsWith" dxfId="1345" priority="2432" stopIfTrue="1" operator="beginsWith" text="Functioning At Risk">
      <formula>LEFT(C119,LEN("Functioning At Risk"))="Functioning At Risk"</formula>
    </cfRule>
    <cfRule type="beginsWith" dxfId="1344" priority="2433" stopIfTrue="1" operator="beginsWith" text="Not Functioning">
      <formula>LEFT(C119,LEN("Not Functioning"))="Not Functioning"</formula>
    </cfRule>
    <cfRule type="containsText" dxfId="1343" priority="2434" operator="containsText" text="Functioning">
      <formula>NOT(ISERROR(SEARCH("Functioning",C119)))</formula>
    </cfRule>
  </conditionalFormatting>
  <conditionalFormatting sqref="C127">
    <cfRule type="beginsWith" dxfId="1342" priority="2423" stopIfTrue="1" operator="beginsWith" text="Functioning At Risk">
      <formula>LEFT(C127,LEN("Functioning At Risk"))="Functioning At Risk"</formula>
    </cfRule>
    <cfRule type="beginsWith" dxfId="1341" priority="2424" stopIfTrue="1" operator="beginsWith" text="Not Functioning">
      <formula>LEFT(C127,LEN("Not Functioning"))="Not Functioning"</formula>
    </cfRule>
    <cfRule type="containsText" dxfId="1340" priority="2425" operator="containsText" text="Functioning">
      <formula>NOT(ISERROR(SEARCH("Functioning",C127)))</formula>
    </cfRule>
  </conditionalFormatting>
  <conditionalFormatting sqref="C120">
    <cfRule type="beginsWith" dxfId="1339" priority="2411" stopIfTrue="1" operator="beginsWith" text="Functioning At Risk">
      <formula>LEFT(C120,LEN("Functioning At Risk"))="Functioning At Risk"</formula>
    </cfRule>
    <cfRule type="beginsWith" dxfId="1338" priority="2412" stopIfTrue="1" operator="beginsWith" text="Not Functioning">
      <formula>LEFT(C120,LEN("Not Functioning"))="Not Functioning"</formula>
    </cfRule>
    <cfRule type="containsText" dxfId="1337" priority="2413" operator="containsText" text="Functioning">
      <formula>NOT(ISERROR(SEARCH("Functioning",C120)))</formula>
    </cfRule>
  </conditionalFormatting>
  <conditionalFormatting sqref="B123:C124 B125">
    <cfRule type="beginsWith" dxfId="1336" priority="2426" stopIfTrue="1" operator="beginsWith" text="Functioning At Risk">
      <formula>LEFT(B123,LEN("Functioning At Risk"))="Functioning At Risk"</formula>
    </cfRule>
    <cfRule type="beginsWith" dxfId="1335" priority="2427" stopIfTrue="1" operator="beginsWith" text="Not Functioning">
      <formula>LEFT(B123,LEN("Not Functioning"))="Not Functioning"</formula>
    </cfRule>
    <cfRule type="containsText" dxfId="1334" priority="2428" operator="containsText" text="Functioning">
      <formula>NOT(ISERROR(SEARCH("Functioning",B123)))</formula>
    </cfRule>
  </conditionalFormatting>
  <conditionalFormatting sqref="C125">
    <cfRule type="beginsWith" dxfId="1333" priority="2420" stopIfTrue="1" operator="beginsWith" text="Functioning At Risk">
      <formula>LEFT(C125,LEN("Functioning At Risk"))="Functioning At Risk"</formula>
    </cfRule>
    <cfRule type="beginsWith" dxfId="1332" priority="2421" stopIfTrue="1" operator="beginsWith" text="Not Functioning">
      <formula>LEFT(C125,LEN("Not Functioning"))="Not Functioning"</formula>
    </cfRule>
    <cfRule type="containsText" dxfId="1331" priority="2422" operator="containsText" text="Functioning">
      <formula>NOT(ISERROR(SEARCH("Functioning",C125)))</formula>
    </cfRule>
  </conditionalFormatting>
  <conditionalFormatting sqref="C122">
    <cfRule type="beginsWith" dxfId="1330" priority="2414" stopIfTrue="1" operator="beginsWith" text="Functioning At Risk">
      <formula>LEFT(C122,LEN("Functioning At Risk"))="Functioning At Risk"</formula>
    </cfRule>
    <cfRule type="beginsWith" dxfId="1329" priority="2415" stopIfTrue="1" operator="beginsWith" text="Not Functioning">
      <formula>LEFT(C122,LEN("Not Functioning"))="Not Functioning"</formula>
    </cfRule>
    <cfRule type="containsText" dxfId="1328" priority="2416" operator="containsText" text="Functioning">
      <formula>NOT(ISERROR(SEARCH("Functioning",C122)))</formula>
    </cfRule>
  </conditionalFormatting>
  <conditionalFormatting sqref="A147">
    <cfRule type="beginsWith" dxfId="1327" priority="2408" stopIfTrue="1" operator="beginsWith" text="Functioning At Risk">
      <formula>LEFT(A147,LEN("Functioning At Risk"))="Functioning At Risk"</formula>
    </cfRule>
    <cfRule type="beginsWith" dxfId="1326" priority="2409" stopIfTrue="1" operator="beginsWith" text="Not Functioning">
      <formula>LEFT(A147,LEN("Not Functioning"))="Not Functioning"</formula>
    </cfRule>
    <cfRule type="containsText" dxfId="1325" priority="2410" operator="containsText" text="Functioning">
      <formula>NOT(ISERROR(SEARCH("Functioning",A147)))</formula>
    </cfRule>
  </conditionalFormatting>
  <conditionalFormatting sqref="A145 A164:A165">
    <cfRule type="beginsWith" dxfId="1324" priority="2405" stopIfTrue="1" operator="beginsWith" text="Functioning At Risk">
      <formula>LEFT(A145,LEN("Functioning At Risk"))="Functioning At Risk"</formula>
    </cfRule>
    <cfRule type="beginsWith" dxfId="1323" priority="2406" stopIfTrue="1" operator="beginsWith" text="Not Functioning">
      <formula>LEFT(A145,LEN("Not Functioning"))="Not Functioning"</formula>
    </cfRule>
    <cfRule type="containsText" dxfId="1322" priority="2407" operator="containsText" text="Functioning">
      <formula>NOT(ISERROR(SEARCH("Functioning",A145)))</formula>
    </cfRule>
  </conditionalFormatting>
  <conditionalFormatting sqref="A160">
    <cfRule type="beginsWith" dxfId="1321" priority="2402" stopIfTrue="1" operator="beginsWith" text="Functioning At Risk">
      <formula>LEFT(A160,LEN("Functioning At Risk"))="Functioning At Risk"</formula>
    </cfRule>
    <cfRule type="beginsWith" dxfId="1320" priority="2403" stopIfTrue="1" operator="beginsWith" text="Not Functioning">
      <formula>LEFT(A160,LEN("Not Functioning"))="Not Functioning"</formula>
    </cfRule>
    <cfRule type="containsText" dxfId="1319" priority="2404" operator="containsText" text="Functioning">
      <formula>NOT(ISERROR(SEARCH("Functioning",A160)))</formula>
    </cfRule>
  </conditionalFormatting>
  <conditionalFormatting sqref="D164:D166 D151:D153 D145:D146 D156:D159">
    <cfRule type="beginsWith" dxfId="1318" priority="2399" stopIfTrue="1" operator="beginsWith" text="Functioning At Risk">
      <formula>LEFT(D145,LEN("Functioning At Risk"))="Functioning At Risk"</formula>
    </cfRule>
    <cfRule type="beginsWith" dxfId="1317" priority="2400" stopIfTrue="1" operator="beginsWith" text="Not Functioning">
      <formula>LEFT(D145,LEN("Not Functioning"))="Not Functioning"</formula>
    </cfRule>
    <cfRule type="containsText" dxfId="1316" priority="2401" operator="containsText" text="Functioning">
      <formula>NOT(ISERROR(SEARCH("Functioning",D145)))</formula>
    </cfRule>
  </conditionalFormatting>
  <conditionalFormatting sqref="D154">
    <cfRule type="beginsWith" dxfId="1315" priority="2393" stopIfTrue="1" operator="beginsWith" text="Functioning At Risk">
      <formula>LEFT(D154,LEN("Functioning At Risk"))="Functioning At Risk"</formula>
    </cfRule>
    <cfRule type="beginsWith" dxfId="1314" priority="2394" stopIfTrue="1" operator="beginsWith" text="Not Functioning">
      <formula>LEFT(D154,LEN("Not Functioning"))="Not Functioning"</formula>
    </cfRule>
    <cfRule type="containsText" dxfId="1313" priority="2395" operator="containsText" text="Functioning">
      <formula>NOT(ISERROR(SEARCH("Functioning",D154)))</formula>
    </cfRule>
  </conditionalFormatting>
  <conditionalFormatting sqref="D160">
    <cfRule type="beginsWith" dxfId="1312" priority="2396" stopIfTrue="1" operator="beginsWith" text="Functioning At Risk">
      <formula>LEFT(D160,LEN("Functioning At Risk"))="Functioning At Risk"</formula>
    </cfRule>
    <cfRule type="beginsWith" dxfId="1311" priority="2397" stopIfTrue="1" operator="beginsWith" text="Not Functioning">
      <formula>LEFT(D160,LEN("Not Functioning"))="Not Functioning"</formula>
    </cfRule>
    <cfRule type="containsText" dxfId="1310" priority="2398" operator="containsText" text="Functioning">
      <formula>NOT(ISERROR(SEARCH("Functioning",D160)))</formula>
    </cfRule>
  </conditionalFormatting>
  <conditionalFormatting sqref="D155">
    <cfRule type="beginsWith" dxfId="1309" priority="2390" stopIfTrue="1" operator="beginsWith" text="Functioning At Risk">
      <formula>LEFT(D155,LEN("Functioning At Risk"))="Functioning At Risk"</formula>
    </cfRule>
    <cfRule type="beginsWith" dxfId="1308" priority="2391" stopIfTrue="1" operator="beginsWith" text="Not Functioning">
      <formula>LEFT(D155,LEN("Not Functioning"))="Not Functioning"</formula>
    </cfRule>
    <cfRule type="containsText" dxfId="1307" priority="2392" operator="containsText" text="Functioning">
      <formula>NOT(ISERROR(SEARCH("Functioning",D155)))</formula>
    </cfRule>
  </conditionalFormatting>
  <conditionalFormatting sqref="D148">
    <cfRule type="beginsWith" dxfId="1306" priority="2381" stopIfTrue="1" operator="beginsWith" text="Functioning At Risk">
      <formula>LEFT(D148,LEN("Functioning At Risk"))="Functioning At Risk"</formula>
    </cfRule>
    <cfRule type="beginsWith" dxfId="1305" priority="2382" stopIfTrue="1" operator="beginsWith" text="Not Functioning">
      <formula>LEFT(D148,LEN("Not Functioning"))="Not Functioning"</formula>
    </cfRule>
    <cfRule type="containsText" dxfId="1304" priority="2383" operator="containsText" text="Functioning">
      <formula>NOT(ISERROR(SEARCH("Functioning",D148)))</formula>
    </cfRule>
  </conditionalFormatting>
  <conditionalFormatting sqref="D150">
    <cfRule type="beginsWith" dxfId="1303" priority="2384" stopIfTrue="1" operator="beginsWith" text="Functioning At Risk">
      <formula>LEFT(D150,LEN("Functioning At Risk"))="Functioning At Risk"</formula>
    </cfRule>
    <cfRule type="beginsWith" dxfId="1302" priority="2385" stopIfTrue="1" operator="beginsWith" text="Not Functioning">
      <formula>LEFT(D150,LEN("Not Functioning"))="Not Functioning"</formula>
    </cfRule>
    <cfRule type="containsText" dxfId="1301" priority="2386" operator="containsText" text="Functioning">
      <formula>NOT(ISERROR(SEARCH("Functioning",D150)))</formula>
    </cfRule>
  </conditionalFormatting>
  <conditionalFormatting sqref="B156:C156 B145:C145 B147 C146 B166 C157:C159 B161:B163">
    <cfRule type="beginsWith" dxfId="1300" priority="2378" stopIfTrue="1" operator="beginsWith" text="Functioning At Risk">
      <formula>LEFT(B145,LEN("Functioning At Risk"))="Functioning At Risk"</formula>
    </cfRule>
    <cfRule type="beginsWith" dxfId="1299" priority="2379" stopIfTrue="1" operator="beginsWith" text="Not Functioning">
      <formula>LEFT(B145,LEN("Not Functioning"))="Not Functioning"</formula>
    </cfRule>
    <cfRule type="containsText" dxfId="1298" priority="2380" operator="containsText" text="Functioning">
      <formula>NOT(ISERROR(SEARCH("Functioning",B145)))</formula>
    </cfRule>
  </conditionalFormatting>
  <conditionalFormatting sqref="B148">
    <cfRule type="beginsWith" dxfId="1297" priority="2375" stopIfTrue="1" operator="beginsWith" text="Functioning At Risk">
      <formula>LEFT(B148,LEN("Functioning At Risk"))="Functioning At Risk"</formula>
    </cfRule>
    <cfRule type="beginsWith" dxfId="1296" priority="2376" stopIfTrue="1" operator="beginsWith" text="Not Functioning">
      <formula>LEFT(B148,LEN("Not Functioning"))="Not Functioning"</formula>
    </cfRule>
    <cfRule type="containsText" dxfId="1295" priority="2377" operator="containsText" text="Functioning">
      <formula>NOT(ISERROR(SEARCH("Functioning",B148)))</formula>
    </cfRule>
  </conditionalFormatting>
  <conditionalFormatting sqref="B160">
    <cfRule type="beginsWith" dxfId="1294" priority="2372" stopIfTrue="1" operator="beginsWith" text="Functioning At Risk">
      <formula>LEFT(B160,LEN("Functioning At Risk"))="Functioning At Risk"</formula>
    </cfRule>
    <cfRule type="beginsWith" dxfId="1293" priority="2373" stopIfTrue="1" operator="beginsWith" text="Not Functioning">
      <formula>LEFT(B160,LEN("Not Functioning"))="Not Functioning"</formula>
    </cfRule>
    <cfRule type="containsText" dxfId="1292" priority="2374" operator="containsText" text="Functioning">
      <formula>NOT(ISERROR(SEARCH("Functioning",B160)))</formula>
    </cfRule>
  </conditionalFormatting>
  <conditionalFormatting sqref="B164">
    <cfRule type="beginsWith" dxfId="1291" priority="2369" stopIfTrue="1" operator="beginsWith" text="Functioning At Risk">
      <formula>LEFT(B164,LEN("Functioning At Risk"))="Functioning At Risk"</formula>
    </cfRule>
    <cfRule type="beginsWith" dxfId="1290" priority="2370" stopIfTrue="1" operator="beginsWith" text="Not Functioning">
      <formula>LEFT(B164,LEN("Not Functioning"))="Not Functioning"</formula>
    </cfRule>
    <cfRule type="containsText" dxfId="1289" priority="2371" operator="containsText" text="Functioning">
      <formula>NOT(ISERROR(SEARCH("Functioning",B164)))</formula>
    </cfRule>
  </conditionalFormatting>
  <conditionalFormatting sqref="C147">
    <cfRule type="beginsWith" dxfId="1288" priority="2366" stopIfTrue="1" operator="beginsWith" text="Functioning At Risk">
      <formula>LEFT(C147,LEN("Functioning At Risk"))="Functioning At Risk"</formula>
    </cfRule>
    <cfRule type="beginsWith" dxfId="1287" priority="2367" stopIfTrue="1" operator="beginsWith" text="Not Functioning">
      <formula>LEFT(C147,LEN("Not Functioning"))="Not Functioning"</formula>
    </cfRule>
    <cfRule type="containsText" dxfId="1286" priority="2368" operator="containsText" text="Functioning">
      <formula>NOT(ISERROR(SEARCH("Functioning",C147)))</formula>
    </cfRule>
  </conditionalFormatting>
  <conditionalFormatting sqref="C155">
    <cfRule type="beginsWith" dxfId="1285" priority="2357" stopIfTrue="1" operator="beginsWith" text="Functioning At Risk">
      <formula>LEFT(C155,LEN("Functioning At Risk"))="Functioning At Risk"</formula>
    </cfRule>
    <cfRule type="beginsWith" dxfId="1284" priority="2358" stopIfTrue="1" operator="beginsWith" text="Not Functioning">
      <formula>LEFT(C155,LEN("Not Functioning"))="Not Functioning"</formula>
    </cfRule>
    <cfRule type="containsText" dxfId="1283" priority="2359" operator="containsText" text="Functioning">
      <formula>NOT(ISERROR(SEARCH("Functioning",C155)))</formula>
    </cfRule>
  </conditionalFormatting>
  <conditionalFormatting sqref="C148">
    <cfRule type="beginsWith" dxfId="1282" priority="2345" stopIfTrue="1" operator="beginsWith" text="Functioning At Risk">
      <formula>LEFT(C148,LEN("Functioning At Risk"))="Functioning At Risk"</formula>
    </cfRule>
    <cfRule type="beginsWith" dxfId="1281" priority="2346" stopIfTrue="1" operator="beginsWith" text="Not Functioning">
      <formula>LEFT(C148,LEN("Not Functioning"))="Not Functioning"</formula>
    </cfRule>
    <cfRule type="containsText" dxfId="1280" priority="2347" operator="containsText" text="Functioning">
      <formula>NOT(ISERROR(SEARCH("Functioning",C148)))</formula>
    </cfRule>
  </conditionalFormatting>
  <conditionalFormatting sqref="B151:C152 B153">
    <cfRule type="beginsWith" dxfId="1279" priority="2360" stopIfTrue="1" operator="beginsWith" text="Functioning At Risk">
      <formula>LEFT(B151,LEN("Functioning At Risk"))="Functioning At Risk"</formula>
    </cfRule>
    <cfRule type="beginsWith" dxfId="1278" priority="2361" stopIfTrue="1" operator="beginsWith" text="Not Functioning">
      <formula>LEFT(B151,LEN("Not Functioning"))="Not Functioning"</formula>
    </cfRule>
    <cfRule type="containsText" dxfId="1277" priority="2362" operator="containsText" text="Functioning">
      <formula>NOT(ISERROR(SEARCH("Functioning",B151)))</formula>
    </cfRule>
  </conditionalFormatting>
  <conditionalFormatting sqref="C153">
    <cfRule type="beginsWith" dxfId="1276" priority="2354" stopIfTrue="1" operator="beginsWith" text="Functioning At Risk">
      <formula>LEFT(C153,LEN("Functioning At Risk"))="Functioning At Risk"</formula>
    </cfRule>
    <cfRule type="beginsWith" dxfId="1275" priority="2355" stopIfTrue="1" operator="beginsWith" text="Not Functioning">
      <formula>LEFT(C153,LEN("Not Functioning"))="Not Functioning"</formula>
    </cfRule>
    <cfRule type="containsText" dxfId="1274" priority="2356" operator="containsText" text="Functioning">
      <formula>NOT(ISERROR(SEARCH("Functioning",C153)))</formula>
    </cfRule>
  </conditionalFormatting>
  <conditionalFormatting sqref="C150">
    <cfRule type="beginsWith" dxfId="1273" priority="2348" stopIfTrue="1" operator="beginsWith" text="Functioning At Risk">
      <formula>LEFT(C150,LEN("Functioning At Risk"))="Functioning At Risk"</formula>
    </cfRule>
    <cfRule type="beginsWith" dxfId="1272" priority="2349" stopIfTrue="1" operator="beginsWith" text="Not Functioning">
      <formula>LEFT(C150,LEN("Not Functioning"))="Not Functioning"</formula>
    </cfRule>
    <cfRule type="containsText" dxfId="1271" priority="2350" operator="containsText" text="Functioning">
      <formula>NOT(ISERROR(SEARCH("Functioning",C150)))</formula>
    </cfRule>
  </conditionalFormatting>
  <conditionalFormatting sqref="A175">
    <cfRule type="beginsWith" dxfId="1270" priority="2342" stopIfTrue="1" operator="beginsWith" text="Functioning At Risk">
      <formula>LEFT(A175,LEN("Functioning At Risk"))="Functioning At Risk"</formula>
    </cfRule>
    <cfRule type="beginsWith" dxfId="1269" priority="2343" stopIfTrue="1" operator="beginsWith" text="Not Functioning">
      <formula>LEFT(A175,LEN("Not Functioning"))="Not Functioning"</formula>
    </cfRule>
    <cfRule type="containsText" dxfId="1268" priority="2344" operator="containsText" text="Functioning">
      <formula>NOT(ISERROR(SEARCH("Functioning",A175)))</formula>
    </cfRule>
  </conditionalFormatting>
  <conditionalFormatting sqref="A173 A192:A193">
    <cfRule type="beginsWith" dxfId="1267" priority="2339" stopIfTrue="1" operator="beginsWith" text="Functioning At Risk">
      <formula>LEFT(A173,LEN("Functioning At Risk"))="Functioning At Risk"</formula>
    </cfRule>
    <cfRule type="beginsWith" dxfId="1266" priority="2340" stopIfTrue="1" operator="beginsWith" text="Not Functioning">
      <formula>LEFT(A173,LEN("Not Functioning"))="Not Functioning"</formula>
    </cfRule>
    <cfRule type="containsText" dxfId="1265" priority="2341" operator="containsText" text="Functioning">
      <formula>NOT(ISERROR(SEARCH("Functioning",A173)))</formula>
    </cfRule>
  </conditionalFormatting>
  <conditionalFormatting sqref="A188">
    <cfRule type="beginsWith" dxfId="1264" priority="2336" stopIfTrue="1" operator="beginsWith" text="Functioning At Risk">
      <formula>LEFT(A188,LEN("Functioning At Risk"))="Functioning At Risk"</formula>
    </cfRule>
    <cfRule type="beginsWith" dxfId="1263" priority="2337" stopIfTrue="1" operator="beginsWith" text="Not Functioning">
      <formula>LEFT(A188,LEN("Not Functioning"))="Not Functioning"</formula>
    </cfRule>
    <cfRule type="containsText" dxfId="1262" priority="2338" operator="containsText" text="Functioning">
      <formula>NOT(ISERROR(SEARCH("Functioning",A188)))</formula>
    </cfRule>
  </conditionalFormatting>
  <conditionalFormatting sqref="D192:D194 D179:D181 D173:D174 D184:D187">
    <cfRule type="beginsWith" dxfId="1261" priority="2333" stopIfTrue="1" operator="beginsWith" text="Functioning At Risk">
      <formula>LEFT(D173,LEN("Functioning At Risk"))="Functioning At Risk"</formula>
    </cfRule>
    <cfRule type="beginsWith" dxfId="1260" priority="2334" stopIfTrue="1" operator="beginsWith" text="Not Functioning">
      <formula>LEFT(D173,LEN("Not Functioning"))="Not Functioning"</formula>
    </cfRule>
    <cfRule type="containsText" dxfId="1259" priority="2335" operator="containsText" text="Functioning">
      <formula>NOT(ISERROR(SEARCH("Functioning",D173)))</formula>
    </cfRule>
  </conditionalFormatting>
  <conditionalFormatting sqref="D182">
    <cfRule type="beginsWith" dxfId="1258" priority="2327" stopIfTrue="1" operator="beginsWith" text="Functioning At Risk">
      <formula>LEFT(D182,LEN("Functioning At Risk"))="Functioning At Risk"</formula>
    </cfRule>
    <cfRule type="beginsWith" dxfId="1257" priority="2328" stopIfTrue="1" operator="beginsWith" text="Not Functioning">
      <formula>LEFT(D182,LEN("Not Functioning"))="Not Functioning"</formula>
    </cfRule>
    <cfRule type="containsText" dxfId="1256" priority="2329" operator="containsText" text="Functioning">
      <formula>NOT(ISERROR(SEARCH("Functioning",D182)))</formula>
    </cfRule>
  </conditionalFormatting>
  <conditionalFormatting sqref="D188">
    <cfRule type="beginsWith" dxfId="1255" priority="2330" stopIfTrue="1" operator="beginsWith" text="Functioning At Risk">
      <formula>LEFT(D188,LEN("Functioning At Risk"))="Functioning At Risk"</formula>
    </cfRule>
    <cfRule type="beginsWith" dxfId="1254" priority="2331" stopIfTrue="1" operator="beginsWith" text="Not Functioning">
      <formula>LEFT(D188,LEN("Not Functioning"))="Not Functioning"</formula>
    </cfRule>
    <cfRule type="containsText" dxfId="1253" priority="2332" operator="containsText" text="Functioning">
      <formula>NOT(ISERROR(SEARCH("Functioning",D188)))</formula>
    </cfRule>
  </conditionalFormatting>
  <conditionalFormatting sqref="D175">
    <cfRule type="beginsWith" dxfId="1252" priority="2321" stopIfTrue="1" operator="beginsWith" text="Functioning At Risk">
      <formula>LEFT(D175,LEN("Functioning At Risk"))="Functioning At Risk"</formula>
    </cfRule>
    <cfRule type="beginsWith" dxfId="1251" priority="2322" stopIfTrue="1" operator="beginsWith" text="Not Functioning">
      <formula>LEFT(D175,LEN("Not Functioning"))="Not Functioning"</formula>
    </cfRule>
    <cfRule type="containsText" dxfId="1250" priority="2323" operator="containsText" text="Functioning">
      <formula>NOT(ISERROR(SEARCH("Functioning",D175)))</formula>
    </cfRule>
  </conditionalFormatting>
  <conditionalFormatting sqref="D176">
    <cfRule type="beginsWith" dxfId="1249" priority="2315" stopIfTrue="1" operator="beginsWith" text="Functioning At Risk">
      <formula>LEFT(D176,LEN("Functioning At Risk"))="Functioning At Risk"</formula>
    </cfRule>
    <cfRule type="beginsWith" dxfId="1248" priority="2316" stopIfTrue="1" operator="beginsWith" text="Not Functioning">
      <formula>LEFT(D176,LEN("Not Functioning"))="Not Functioning"</formula>
    </cfRule>
    <cfRule type="containsText" dxfId="1247" priority="2317" operator="containsText" text="Functioning">
      <formula>NOT(ISERROR(SEARCH("Functioning",D176)))</formula>
    </cfRule>
  </conditionalFormatting>
  <conditionalFormatting sqref="D178">
    <cfRule type="beginsWith" dxfId="1246" priority="2318" stopIfTrue="1" operator="beginsWith" text="Functioning At Risk">
      <formula>LEFT(D178,LEN("Functioning At Risk"))="Functioning At Risk"</formula>
    </cfRule>
    <cfRule type="beginsWith" dxfId="1245" priority="2319" stopIfTrue="1" operator="beginsWith" text="Not Functioning">
      <formula>LEFT(D178,LEN("Not Functioning"))="Not Functioning"</formula>
    </cfRule>
    <cfRule type="containsText" dxfId="1244" priority="2320" operator="containsText" text="Functioning">
      <formula>NOT(ISERROR(SEARCH("Functioning",D178)))</formula>
    </cfRule>
  </conditionalFormatting>
  <conditionalFormatting sqref="B184:C184 B173:C173 B175 C174 B194 C185:C187 B189:B191">
    <cfRule type="beginsWith" dxfId="1243" priority="2312" stopIfTrue="1" operator="beginsWith" text="Functioning At Risk">
      <formula>LEFT(B173,LEN("Functioning At Risk"))="Functioning At Risk"</formula>
    </cfRule>
    <cfRule type="beginsWith" dxfId="1242" priority="2313" stopIfTrue="1" operator="beginsWith" text="Not Functioning">
      <formula>LEFT(B173,LEN("Not Functioning"))="Not Functioning"</formula>
    </cfRule>
    <cfRule type="containsText" dxfId="1241" priority="2314" operator="containsText" text="Functioning">
      <formula>NOT(ISERROR(SEARCH("Functioning",B173)))</formula>
    </cfRule>
  </conditionalFormatting>
  <conditionalFormatting sqref="B176">
    <cfRule type="beginsWith" dxfId="1240" priority="2309" stopIfTrue="1" operator="beginsWith" text="Functioning At Risk">
      <formula>LEFT(B176,LEN("Functioning At Risk"))="Functioning At Risk"</formula>
    </cfRule>
    <cfRule type="beginsWith" dxfId="1239" priority="2310" stopIfTrue="1" operator="beginsWith" text="Not Functioning">
      <formula>LEFT(B176,LEN("Not Functioning"))="Not Functioning"</formula>
    </cfRule>
    <cfRule type="containsText" dxfId="1238" priority="2311" operator="containsText" text="Functioning">
      <formula>NOT(ISERROR(SEARCH("Functioning",B176)))</formula>
    </cfRule>
  </conditionalFormatting>
  <conditionalFormatting sqref="B188">
    <cfRule type="beginsWith" dxfId="1237" priority="2306" stopIfTrue="1" operator="beginsWith" text="Functioning At Risk">
      <formula>LEFT(B188,LEN("Functioning At Risk"))="Functioning At Risk"</formula>
    </cfRule>
    <cfRule type="beginsWith" dxfId="1236" priority="2307" stopIfTrue="1" operator="beginsWith" text="Not Functioning">
      <formula>LEFT(B188,LEN("Not Functioning"))="Not Functioning"</formula>
    </cfRule>
    <cfRule type="containsText" dxfId="1235" priority="2308" operator="containsText" text="Functioning">
      <formula>NOT(ISERROR(SEARCH("Functioning",B188)))</formula>
    </cfRule>
  </conditionalFormatting>
  <conditionalFormatting sqref="B192">
    <cfRule type="beginsWith" dxfId="1234" priority="2303" stopIfTrue="1" operator="beginsWith" text="Functioning At Risk">
      <formula>LEFT(B192,LEN("Functioning At Risk"))="Functioning At Risk"</formula>
    </cfRule>
    <cfRule type="beginsWith" dxfId="1233" priority="2304" stopIfTrue="1" operator="beginsWith" text="Not Functioning">
      <formula>LEFT(B192,LEN("Not Functioning"))="Not Functioning"</formula>
    </cfRule>
    <cfRule type="containsText" dxfId="1232" priority="2305" operator="containsText" text="Functioning">
      <formula>NOT(ISERROR(SEARCH("Functioning",B192)))</formula>
    </cfRule>
  </conditionalFormatting>
  <conditionalFormatting sqref="C175">
    <cfRule type="beginsWith" dxfId="1231" priority="2300" stopIfTrue="1" operator="beginsWith" text="Functioning At Risk">
      <formula>LEFT(C175,LEN("Functioning At Risk"))="Functioning At Risk"</formula>
    </cfRule>
    <cfRule type="beginsWith" dxfId="1230" priority="2301" stopIfTrue="1" operator="beginsWith" text="Not Functioning">
      <formula>LEFT(C175,LEN("Not Functioning"))="Not Functioning"</formula>
    </cfRule>
    <cfRule type="containsText" dxfId="1229" priority="2302" operator="containsText" text="Functioning">
      <formula>NOT(ISERROR(SEARCH("Functioning",C175)))</formula>
    </cfRule>
  </conditionalFormatting>
  <conditionalFormatting sqref="C183">
    <cfRule type="beginsWith" dxfId="1228" priority="2291" stopIfTrue="1" operator="beginsWith" text="Functioning At Risk">
      <formula>LEFT(C183,LEN("Functioning At Risk"))="Functioning At Risk"</formula>
    </cfRule>
    <cfRule type="beginsWith" dxfId="1227" priority="2292" stopIfTrue="1" operator="beginsWith" text="Not Functioning">
      <formula>LEFT(C183,LEN("Not Functioning"))="Not Functioning"</formula>
    </cfRule>
    <cfRule type="containsText" dxfId="1226" priority="2293" operator="containsText" text="Functioning">
      <formula>NOT(ISERROR(SEARCH("Functioning",C183)))</formula>
    </cfRule>
  </conditionalFormatting>
  <conditionalFormatting sqref="C176">
    <cfRule type="beginsWith" dxfId="1225" priority="2279" stopIfTrue="1" operator="beginsWith" text="Functioning At Risk">
      <formula>LEFT(C176,LEN("Functioning At Risk"))="Functioning At Risk"</formula>
    </cfRule>
    <cfRule type="beginsWith" dxfId="1224" priority="2280" stopIfTrue="1" operator="beginsWith" text="Not Functioning">
      <formula>LEFT(C176,LEN("Not Functioning"))="Not Functioning"</formula>
    </cfRule>
    <cfRule type="containsText" dxfId="1223" priority="2281" operator="containsText" text="Functioning">
      <formula>NOT(ISERROR(SEARCH("Functioning",C176)))</formula>
    </cfRule>
  </conditionalFormatting>
  <conditionalFormatting sqref="B179:C180 B181">
    <cfRule type="beginsWith" dxfId="1222" priority="2294" stopIfTrue="1" operator="beginsWith" text="Functioning At Risk">
      <formula>LEFT(B179,LEN("Functioning At Risk"))="Functioning At Risk"</formula>
    </cfRule>
    <cfRule type="beginsWith" dxfId="1221" priority="2295" stopIfTrue="1" operator="beginsWith" text="Not Functioning">
      <formula>LEFT(B179,LEN("Not Functioning"))="Not Functioning"</formula>
    </cfRule>
    <cfRule type="containsText" dxfId="1220" priority="2296" operator="containsText" text="Functioning">
      <formula>NOT(ISERROR(SEARCH("Functioning",B179)))</formula>
    </cfRule>
  </conditionalFormatting>
  <conditionalFormatting sqref="C181">
    <cfRule type="beginsWith" dxfId="1219" priority="2288" stopIfTrue="1" operator="beginsWith" text="Functioning At Risk">
      <formula>LEFT(C181,LEN("Functioning At Risk"))="Functioning At Risk"</formula>
    </cfRule>
    <cfRule type="beginsWith" dxfId="1218" priority="2289" stopIfTrue="1" operator="beginsWith" text="Not Functioning">
      <formula>LEFT(C181,LEN("Not Functioning"))="Not Functioning"</formula>
    </cfRule>
    <cfRule type="containsText" dxfId="1217" priority="2290" operator="containsText" text="Functioning">
      <formula>NOT(ISERROR(SEARCH("Functioning",C181)))</formula>
    </cfRule>
  </conditionalFormatting>
  <conditionalFormatting sqref="C178">
    <cfRule type="beginsWith" dxfId="1216" priority="2282" stopIfTrue="1" operator="beginsWith" text="Functioning At Risk">
      <formula>LEFT(C178,LEN("Functioning At Risk"))="Functioning At Risk"</formula>
    </cfRule>
    <cfRule type="beginsWith" dxfId="1215" priority="2283" stopIfTrue="1" operator="beginsWith" text="Not Functioning">
      <formula>LEFT(C178,LEN("Not Functioning"))="Not Functioning"</formula>
    </cfRule>
    <cfRule type="containsText" dxfId="1214" priority="2284" operator="containsText" text="Functioning">
      <formula>NOT(ISERROR(SEARCH("Functioning",C178)))</formula>
    </cfRule>
  </conditionalFormatting>
  <conditionalFormatting sqref="A203">
    <cfRule type="beginsWith" dxfId="1213" priority="2276" stopIfTrue="1" operator="beginsWith" text="Functioning At Risk">
      <formula>LEFT(A203,LEN("Functioning At Risk"))="Functioning At Risk"</formula>
    </cfRule>
    <cfRule type="beginsWith" dxfId="1212" priority="2277" stopIfTrue="1" operator="beginsWith" text="Not Functioning">
      <formula>LEFT(A203,LEN("Not Functioning"))="Not Functioning"</formula>
    </cfRule>
    <cfRule type="containsText" dxfId="1211" priority="2278" operator="containsText" text="Functioning">
      <formula>NOT(ISERROR(SEARCH("Functioning",A203)))</formula>
    </cfRule>
  </conditionalFormatting>
  <conditionalFormatting sqref="A201 A220:A221">
    <cfRule type="beginsWith" dxfId="1210" priority="2273" stopIfTrue="1" operator="beginsWith" text="Functioning At Risk">
      <formula>LEFT(A201,LEN("Functioning At Risk"))="Functioning At Risk"</formula>
    </cfRule>
    <cfRule type="beginsWith" dxfId="1209" priority="2274" stopIfTrue="1" operator="beginsWith" text="Not Functioning">
      <formula>LEFT(A201,LEN("Not Functioning"))="Not Functioning"</formula>
    </cfRule>
    <cfRule type="containsText" dxfId="1208" priority="2275" operator="containsText" text="Functioning">
      <formula>NOT(ISERROR(SEARCH("Functioning",A201)))</formula>
    </cfRule>
  </conditionalFormatting>
  <conditionalFormatting sqref="A216">
    <cfRule type="beginsWith" dxfId="1207" priority="2270" stopIfTrue="1" operator="beginsWith" text="Functioning At Risk">
      <formula>LEFT(A216,LEN("Functioning At Risk"))="Functioning At Risk"</formula>
    </cfRule>
    <cfRule type="beginsWith" dxfId="1206" priority="2271" stopIfTrue="1" operator="beginsWith" text="Not Functioning">
      <formula>LEFT(A216,LEN("Not Functioning"))="Not Functioning"</formula>
    </cfRule>
    <cfRule type="containsText" dxfId="1205" priority="2272" operator="containsText" text="Functioning">
      <formula>NOT(ISERROR(SEARCH("Functioning",A216)))</formula>
    </cfRule>
  </conditionalFormatting>
  <conditionalFormatting sqref="D220:D222 D207:D209 D201:D202 D212:D215">
    <cfRule type="beginsWith" dxfId="1204" priority="2267" stopIfTrue="1" operator="beginsWith" text="Functioning At Risk">
      <formula>LEFT(D201,LEN("Functioning At Risk"))="Functioning At Risk"</formula>
    </cfRule>
    <cfRule type="beginsWith" dxfId="1203" priority="2268" stopIfTrue="1" operator="beginsWith" text="Not Functioning">
      <formula>LEFT(D201,LEN("Not Functioning"))="Not Functioning"</formula>
    </cfRule>
    <cfRule type="containsText" dxfId="1202" priority="2269" operator="containsText" text="Functioning">
      <formula>NOT(ISERROR(SEARCH("Functioning",D201)))</formula>
    </cfRule>
  </conditionalFormatting>
  <conditionalFormatting sqref="D210">
    <cfRule type="beginsWith" dxfId="1201" priority="2261" stopIfTrue="1" operator="beginsWith" text="Functioning At Risk">
      <formula>LEFT(D210,LEN("Functioning At Risk"))="Functioning At Risk"</formula>
    </cfRule>
    <cfRule type="beginsWith" dxfId="1200" priority="2262" stopIfTrue="1" operator="beginsWith" text="Not Functioning">
      <formula>LEFT(D210,LEN("Not Functioning"))="Not Functioning"</formula>
    </cfRule>
    <cfRule type="containsText" dxfId="1199" priority="2263" operator="containsText" text="Functioning">
      <formula>NOT(ISERROR(SEARCH("Functioning",D210)))</formula>
    </cfRule>
  </conditionalFormatting>
  <conditionalFormatting sqref="D216">
    <cfRule type="beginsWith" dxfId="1198" priority="2264" stopIfTrue="1" operator="beginsWith" text="Functioning At Risk">
      <formula>LEFT(D216,LEN("Functioning At Risk"))="Functioning At Risk"</formula>
    </cfRule>
    <cfRule type="beginsWith" dxfId="1197" priority="2265" stopIfTrue="1" operator="beginsWith" text="Not Functioning">
      <formula>LEFT(D216,LEN("Not Functioning"))="Not Functioning"</formula>
    </cfRule>
    <cfRule type="containsText" dxfId="1196" priority="2266" operator="containsText" text="Functioning">
      <formula>NOT(ISERROR(SEARCH("Functioning",D216)))</formula>
    </cfRule>
  </conditionalFormatting>
  <conditionalFormatting sqref="D211">
    <cfRule type="beginsWith" dxfId="1195" priority="2258" stopIfTrue="1" operator="beginsWith" text="Functioning At Risk">
      <formula>LEFT(D211,LEN("Functioning At Risk"))="Functioning At Risk"</formula>
    </cfRule>
    <cfRule type="beginsWith" dxfId="1194" priority="2259" stopIfTrue="1" operator="beginsWith" text="Not Functioning">
      <formula>LEFT(D211,LEN("Not Functioning"))="Not Functioning"</formula>
    </cfRule>
    <cfRule type="containsText" dxfId="1193" priority="2260" operator="containsText" text="Functioning">
      <formula>NOT(ISERROR(SEARCH("Functioning",D211)))</formula>
    </cfRule>
  </conditionalFormatting>
  <conditionalFormatting sqref="D203">
    <cfRule type="beginsWith" dxfId="1192" priority="2255" stopIfTrue="1" operator="beginsWith" text="Functioning At Risk">
      <formula>LEFT(D203,LEN("Functioning At Risk"))="Functioning At Risk"</formula>
    </cfRule>
    <cfRule type="beginsWith" dxfId="1191" priority="2256" stopIfTrue="1" operator="beginsWith" text="Not Functioning">
      <formula>LEFT(D203,LEN("Not Functioning"))="Not Functioning"</formula>
    </cfRule>
    <cfRule type="containsText" dxfId="1190" priority="2257" operator="containsText" text="Functioning">
      <formula>NOT(ISERROR(SEARCH("Functioning",D203)))</formula>
    </cfRule>
  </conditionalFormatting>
  <conditionalFormatting sqref="D204">
    <cfRule type="beginsWith" dxfId="1189" priority="2249" stopIfTrue="1" operator="beginsWith" text="Functioning At Risk">
      <formula>LEFT(D204,LEN("Functioning At Risk"))="Functioning At Risk"</formula>
    </cfRule>
    <cfRule type="beginsWith" dxfId="1188" priority="2250" stopIfTrue="1" operator="beginsWith" text="Not Functioning">
      <formula>LEFT(D204,LEN("Not Functioning"))="Not Functioning"</formula>
    </cfRule>
    <cfRule type="containsText" dxfId="1187" priority="2251" operator="containsText" text="Functioning">
      <formula>NOT(ISERROR(SEARCH("Functioning",D204)))</formula>
    </cfRule>
  </conditionalFormatting>
  <conditionalFormatting sqref="D206">
    <cfRule type="beginsWith" dxfId="1186" priority="2252" stopIfTrue="1" operator="beginsWith" text="Functioning At Risk">
      <formula>LEFT(D206,LEN("Functioning At Risk"))="Functioning At Risk"</formula>
    </cfRule>
    <cfRule type="beginsWith" dxfId="1185" priority="2253" stopIfTrue="1" operator="beginsWith" text="Not Functioning">
      <formula>LEFT(D206,LEN("Not Functioning"))="Not Functioning"</formula>
    </cfRule>
    <cfRule type="containsText" dxfId="1184" priority="2254" operator="containsText" text="Functioning">
      <formula>NOT(ISERROR(SEARCH("Functioning",D206)))</formula>
    </cfRule>
  </conditionalFormatting>
  <conditionalFormatting sqref="B212:C212 B201:C201 B203 C202 B222 C213:C215 B217:B219">
    <cfRule type="beginsWith" dxfId="1183" priority="2246" stopIfTrue="1" operator="beginsWith" text="Functioning At Risk">
      <formula>LEFT(B201,LEN("Functioning At Risk"))="Functioning At Risk"</formula>
    </cfRule>
    <cfRule type="beginsWith" dxfId="1182" priority="2247" stopIfTrue="1" operator="beginsWith" text="Not Functioning">
      <formula>LEFT(B201,LEN("Not Functioning"))="Not Functioning"</formula>
    </cfRule>
    <cfRule type="containsText" dxfId="1181" priority="2248" operator="containsText" text="Functioning">
      <formula>NOT(ISERROR(SEARCH("Functioning",B201)))</formula>
    </cfRule>
  </conditionalFormatting>
  <conditionalFormatting sqref="B204">
    <cfRule type="beginsWith" dxfId="1180" priority="2243" stopIfTrue="1" operator="beginsWith" text="Functioning At Risk">
      <formula>LEFT(B204,LEN("Functioning At Risk"))="Functioning At Risk"</formula>
    </cfRule>
    <cfRule type="beginsWith" dxfId="1179" priority="2244" stopIfTrue="1" operator="beginsWith" text="Not Functioning">
      <formula>LEFT(B204,LEN("Not Functioning"))="Not Functioning"</formula>
    </cfRule>
    <cfRule type="containsText" dxfId="1178" priority="2245" operator="containsText" text="Functioning">
      <formula>NOT(ISERROR(SEARCH("Functioning",B204)))</formula>
    </cfRule>
  </conditionalFormatting>
  <conditionalFormatting sqref="B216">
    <cfRule type="beginsWith" dxfId="1177" priority="2240" stopIfTrue="1" operator="beginsWith" text="Functioning At Risk">
      <formula>LEFT(B216,LEN("Functioning At Risk"))="Functioning At Risk"</formula>
    </cfRule>
    <cfRule type="beginsWith" dxfId="1176" priority="2241" stopIfTrue="1" operator="beginsWith" text="Not Functioning">
      <formula>LEFT(B216,LEN("Not Functioning"))="Not Functioning"</formula>
    </cfRule>
    <cfRule type="containsText" dxfId="1175" priority="2242" operator="containsText" text="Functioning">
      <formula>NOT(ISERROR(SEARCH("Functioning",B216)))</formula>
    </cfRule>
  </conditionalFormatting>
  <conditionalFormatting sqref="B220">
    <cfRule type="beginsWith" dxfId="1174" priority="2237" stopIfTrue="1" operator="beginsWith" text="Functioning At Risk">
      <formula>LEFT(B220,LEN("Functioning At Risk"))="Functioning At Risk"</formula>
    </cfRule>
    <cfRule type="beginsWith" dxfId="1173" priority="2238" stopIfTrue="1" operator="beginsWith" text="Not Functioning">
      <formula>LEFT(B220,LEN("Not Functioning"))="Not Functioning"</formula>
    </cfRule>
    <cfRule type="containsText" dxfId="1172" priority="2239" operator="containsText" text="Functioning">
      <formula>NOT(ISERROR(SEARCH("Functioning",B220)))</formula>
    </cfRule>
  </conditionalFormatting>
  <conditionalFormatting sqref="C203">
    <cfRule type="beginsWith" dxfId="1171" priority="2234" stopIfTrue="1" operator="beginsWith" text="Functioning At Risk">
      <formula>LEFT(C203,LEN("Functioning At Risk"))="Functioning At Risk"</formula>
    </cfRule>
    <cfRule type="beginsWith" dxfId="1170" priority="2235" stopIfTrue="1" operator="beginsWith" text="Not Functioning">
      <formula>LEFT(C203,LEN("Not Functioning"))="Not Functioning"</formula>
    </cfRule>
    <cfRule type="containsText" dxfId="1169" priority="2236" operator="containsText" text="Functioning">
      <formula>NOT(ISERROR(SEARCH("Functioning",C203)))</formula>
    </cfRule>
  </conditionalFormatting>
  <conditionalFormatting sqref="C211">
    <cfRule type="beginsWith" dxfId="1168" priority="2225" stopIfTrue="1" operator="beginsWith" text="Functioning At Risk">
      <formula>LEFT(C211,LEN("Functioning At Risk"))="Functioning At Risk"</formula>
    </cfRule>
    <cfRule type="beginsWith" dxfId="1167" priority="2226" stopIfTrue="1" operator="beginsWith" text="Not Functioning">
      <formula>LEFT(C211,LEN("Not Functioning"))="Not Functioning"</formula>
    </cfRule>
    <cfRule type="containsText" dxfId="1166" priority="2227" operator="containsText" text="Functioning">
      <formula>NOT(ISERROR(SEARCH("Functioning",C211)))</formula>
    </cfRule>
  </conditionalFormatting>
  <conditionalFormatting sqref="C204">
    <cfRule type="beginsWith" dxfId="1165" priority="2213" stopIfTrue="1" operator="beginsWith" text="Functioning At Risk">
      <formula>LEFT(C204,LEN("Functioning At Risk"))="Functioning At Risk"</formula>
    </cfRule>
    <cfRule type="beginsWith" dxfId="1164" priority="2214" stopIfTrue="1" operator="beginsWith" text="Not Functioning">
      <formula>LEFT(C204,LEN("Not Functioning"))="Not Functioning"</formula>
    </cfRule>
    <cfRule type="containsText" dxfId="1163" priority="2215" operator="containsText" text="Functioning">
      <formula>NOT(ISERROR(SEARCH("Functioning",C204)))</formula>
    </cfRule>
  </conditionalFormatting>
  <conditionalFormatting sqref="B207:C208 B209">
    <cfRule type="beginsWith" dxfId="1162" priority="2228" stopIfTrue="1" operator="beginsWith" text="Functioning At Risk">
      <formula>LEFT(B207,LEN("Functioning At Risk"))="Functioning At Risk"</formula>
    </cfRule>
    <cfRule type="beginsWith" dxfId="1161" priority="2229" stopIfTrue="1" operator="beginsWith" text="Not Functioning">
      <formula>LEFT(B207,LEN("Not Functioning"))="Not Functioning"</formula>
    </cfRule>
    <cfRule type="containsText" dxfId="1160" priority="2230" operator="containsText" text="Functioning">
      <formula>NOT(ISERROR(SEARCH("Functioning",B207)))</formula>
    </cfRule>
  </conditionalFormatting>
  <conditionalFormatting sqref="C209">
    <cfRule type="beginsWith" dxfId="1159" priority="2222" stopIfTrue="1" operator="beginsWith" text="Functioning At Risk">
      <formula>LEFT(C209,LEN("Functioning At Risk"))="Functioning At Risk"</formula>
    </cfRule>
    <cfRule type="beginsWith" dxfId="1158" priority="2223" stopIfTrue="1" operator="beginsWith" text="Not Functioning">
      <formula>LEFT(C209,LEN("Not Functioning"))="Not Functioning"</formula>
    </cfRule>
    <cfRule type="containsText" dxfId="1157" priority="2224" operator="containsText" text="Functioning">
      <formula>NOT(ISERROR(SEARCH("Functioning",C209)))</formula>
    </cfRule>
  </conditionalFormatting>
  <conditionalFormatting sqref="C206">
    <cfRule type="beginsWith" dxfId="1156" priority="2216" stopIfTrue="1" operator="beginsWith" text="Functioning At Risk">
      <formula>LEFT(C206,LEN("Functioning At Risk"))="Functioning At Risk"</formula>
    </cfRule>
    <cfRule type="beginsWith" dxfId="1155" priority="2217" stopIfTrue="1" operator="beginsWith" text="Not Functioning">
      <formula>LEFT(C206,LEN("Not Functioning"))="Not Functioning"</formula>
    </cfRule>
    <cfRule type="containsText" dxfId="1154" priority="2218" operator="containsText" text="Functioning">
      <formula>NOT(ISERROR(SEARCH("Functioning",C206)))</formula>
    </cfRule>
  </conditionalFormatting>
  <conditionalFormatting sqref="A231">
    <cfRule type="beginsWith" dxfId="1153" priority="2210" stopIfTrue="1" operator="beginsWith" text="Functioning At Risk">
      <formula>LEFT(A231,LEN("Functioning At Risk"))="Functioning At Risk"</formula>
    </cfRule>
    <cfRule type="beginsWith" dxfId="1152" priority="2211" stopIfTrue="1" operator="beginsWith" text="Not Functioning">
      <formula>LEFT(A231,LEN("Not Functioning"))="Not Functioning"</formula>
    </cfRule>
    <cfRule type="containsText" dxfId="1151" priority="2212" operator="containsText" text="Functioning">
      <formula>NOT(ISERROR(SEARCH("Functioning",A231)))</formula>
    </cfRule>
  </conditionalFormatting>
  <conditionalFormatting sqref="A229 A248:A249">
    <cfRule type="beginsWith" dxfId="1150" priority="2207" stopIfTrue="1" operator="beginsWith" text="Functioning At Risk">
      <formula>LEFT(A229,LEN("Functioning At Risk"))="Functioning At Risk"</formula>
    </cfRule>
    <cfRule type="beginsWith" dxfId="1149" priority="2208" stopIfTrue="1" operator="beginsWith" text="Not Functioning">
      <formula>LEFT(A229,LEN("Not Functioning"))="Not Functioning"</formula>
    </cfRule>
    <cfRule type="containsText" dxfId="1148" priority="2209" operator="containsText" text="Functioning">
      <formula>NOT(ISERROR(SEARCH("Functioning",A229)))</formula>
    </cfRule>
  </conditionalFormatting>
  <conditionalFormatting sqref="A244">
    <cfRule type="beginsWith" dxfId="1147" priority="2204" stopIfTrue="1" operator="beginsWith" text="Functioning At Risk">
      <formula>LEFT(A244,LEN("Functioning At Risk"))="Functioning At Risk"</formula>
    </cfRule>
    <cfRule type="beginsWith" dxfId="1146" priority="2205" stopIfTrue="1" operator="beginsWith" text="Not Functioning">
      <formula>LEFT(A244,LEN("Not Functioning"))="Not Functioning"</formula>
    </cfRule>
    <cfRule type="containsText" dxfId="1145" priority="2206" operator="containsText" text="Functioning">
      <formula>NOT(ISERROR(SEARCH("Functioning",A244)))</formula>
    </cfRule>
  </conditionalFormatting>
  <conditionalFormatting sqref="D248:D250 D235:D237 D229:D230 D240:D243">
    <cfRule type="beginsWith" dxfId="1144" priority="2201" stopIfTrue="1" operator="beginsWith" text="Functioning At Risk">
      <formula>LEFT(D229,LEN("Functioning At Risk"))="Functioning At Risk"</formula>
    </cfRule>
    <cfRule type="beginsWith" dxfId="1143" priority="2202" stopIfTrue="1" operator="beginsWith" text="Not Functioning">
      <formula>LEFT(D229,LEN("Not Functioning"))="Not Functioning"</formula>
    </cfRule>
    <cfRule type="containsText" dxfId="1142" priority="2203" operator="containsText" text="Functioning">
      <formula>NOT(ISERROR(SEARCH("Functioning",D229)))</formula>
    </cfRule>
  </conditionalFormatting>
  <conditionalFormatting sqref="D238">
    <cfRule type="beginsWith" dxfId="1141" priority="2195" stopIfTrue="1" operator="beginsWith" text="Functioning At Risk">
      <formula>LEFT(D238,LEN("Functioning At Risk"))="Functioning At Risk"</formula>
    </cfRule>
    <cfRule type="beginsWith" dxfId="1140" priority="2196" stopIfTrue="1" operator="beginsWith" text="Not Functioning">
      <formula>LEFT(D238,LEN("Not Functioning"))="Not Functioning"</formula>
    </cfRule>
    <cfRule type="containsText" dxfId="1139" priority="2197" operator="containsText" text="Functioning">
      <formula>NOT(ISERROR(SEARCH("Functioning",D238)))</formula>
    </cfRule>
  </conditionalFormatting>
  <conditionalFormatting sqref="D244">
    <cfRule type="beginsWith" dxfId="1138" priority="2198" stopIfTrue="1" operator="beginsWith" text="Functioning At Risk">
      <formula>LEFT(D244,LEN("Functioning At Risk"))="Functioning At Risk"</formula>
    </cfRule>
    <cfRule type="beginsWith" dxfId="1137" priority="2199" stopIfTrue="1" operator="beginsWith" text="Not Functioning">
      <formula>LEFT(D244,LEN("Not Functioning"))="Not Functioning"</formula>
    </cfRule>
    <cfRule type="containsText" dxfId="1136" priority="2200" operator="containsText" text="Functioning">
      <formula>NOT(ISERROR(SEARCH("Functioning",D244)))</formula>
    </cfRule>
  </conditionalFormatting>
  <conditionalFormatting sqref="D239">
    <cfRule type="beginsWith" dxfId="1135" priority="2192" stopIfTrue="1" operator="beginsWith" text="Functioning At Risk">
      <formula>LEFT(D239,LEN("Functioning At Risk"))="Functioning At Risk"</formula>
    </cfRule>
    <cfRule type="beginsWith" dxfId="1134" priority="2193" stopIfTrue="1" operator="beginsWith" text="Not Functioning">
      <formula>LEFT(D239,LEN("Not Functioning"))="Not Functioning"</formula>
    </cfRule>
    <cfRule type="containsText" dxfId="1133" priority="2194" operator="containsText" text="Functioning">
      <formula>NOT(ISERROR(SEARCH("Functioning",D239)))</formula>
    </cfRule>
  </conditionalFormatting>
  <conditionalFormatting sqref="D231">
    <cfRule type="beginsWith" dxfId="1132" priority="2189" stopIfTrue="1" operator="beginsWith" text="Functioning At Risk">
      <formula>LEFT(D231,LEN("Functioning At Risk"))="Functioning At Risk"</formula>
    </cfRule>
    <cfRule type="beginsWith" dxfId="1131" priority="2190" stopIfTrue="1" operator="beginsWith" text="Not Functioning">
      <formula>LEFT(D231,LEN("Not Functioning"))="Not Functioning"</formula>
    </cfRule>
    <cfRule type="containsText" dxfId="1130" priority="2191" operator="containsText" text="Functioning">
      <formula>NOT(ISERROR(SEARCH("Functioning",D231)))</formula>
    </cfRule>
  </conditionalFormatting>
  <conditionalFormatting sqref="D232">
    <cfRule type="beginsWith" dxfId="1129" priority="2183" stopIfTrue="1" operator="beginsWith" text="Functioning At Risk">
      <formula>LEFT(D232,LEN("Functioning At Risk"))="Functioning At Risk"</formula>
    </cfRule>
    <cfRule type="beginsWith" dxfId="1128" priority="2184" stopIfTrue="1" operator="beginsWith" text="Not Functioning">
      <formula>LEFT(D232,LEN("Not Functioning"))="Not Functioning"</formula>
    </cfRule>
    <cfRule type="containsText" dxfId="1127" priority="2185" operator="containsText" text="Functioning">
      <formula>NOT(ISERROR(SEARCH("Functioning",D232)))</formula>
    </cfRule>
  </conditionalFormatting>
  <conditionalFormatting sqref="D234">
    <cfRule type="beginsWith" dxfId="1126" priority="2186" stopIfTrue="1" operator="beginsWith" text="Functioning At Risk">
      <formula>LEFT(D234,LEN("Functioning At Risk"))="Functioning At Risk"</formula>
    </cfRule>
    <cfRule type="beginsWith" dxfId="1125" priority="2187" stopIfTrue="1" operator="beginsWith" text="Not Functioning">
      <formula>LEFT(D234,LEN("Not Functioning"))="Not Functioning"</formula>
    </cfRule>
    <cfRule type="containsText" dxfId="1124" priority="2188" operator="containsText" text="Functioning">
      <formula>NOT(ISERROR(SEARCH("Functioning",D234)))</formula>
    </cfRule>
  </conditionalFormatting>
  <conditionalFormatting sqref="B240:C240 B229:C229 B231 C230 B250 C241:C243 B245:B247">
    <cfRule type="beginsWith" dxfId="1123" priority="2180" stopIfTrue="1" operator="beginsWith" text="Functioning At Risk">
      <formula>LEFT(B229,LEN("Functioning At Risk"))="Functioning At Risk"</formula>
    </cfRule>
    <cfRule type="beginsWith" dxfId="1122" priority="2181" stopIfTrue="1" operator="beginsWith" text="Not Functioning">
      <formula>LEFT(B229,LEN("Not Functioning"))="Not Functioning"</formula>
    </cfRule>
    <cfRule type="containsText" dxfId="1121" priority="2182" operator="containsText" text="Functioning">
      <formula>NOT(ISERROR(SEARCH("Functioning",B229)))</formula>
    </cfRule>
  </conditionalFormatting>
  <conditionalFormatting sqref="B232">
    <cfRule type="beginsWith" dxfId="1120" priority="2177" stopIfTrue="1" operator="beginsWith" text="Functioning At Risk">
      <formula>LEFT(B232,LEN("Functioning At Risk"))="Functioning At Risk"</formula>
    </cfRule>
    <cfRule type="beginsWith" dxfId="1119" priority="2178" stopIfTrue="1" operator="beginsWith" text="Not Functioning">
      <formula>LEFT(B232,LEN("Not Functioning"))="Not Functioning"</formula>
    </cfRule>
    <cfRule type="containsText" dxfId="1118" priority="2179" operator="containsText" text="Functioning">
      <formula>NOT(ISERROR(SEARCH("Functioning",B232)))</formula>
    </cfRule>
  </conditionalFormatting>
  <conditionalFormatting sqref="B244">
    <cfRule type="beginsWith" dxfId="1117" priority="2174" stopIfTrue="1" operator="beginsWith" text="Functioning At Risk">
      <formula>LEFT(B244,LEN("Functioning At Risk"))="Functioning At Risk"</formula>
    </cfRule>
    <cfRule type="beginsWith" dxfId="1116" priority="2175" stopIfTrue="1" operator="beginsWith" text="Not Functioning">
      <formula>LEFT(B244,LEN("Not Functioning"))="Not Functioning"</formula>
    </cfRule>
    <cfRule type="containsText" dxfId="1115" priority="2176" operator="containsText" text="Functioning">
      <formula>NOT(ISERROR(SEARCH("Functioning",B244)))</formula>
    </cfRule>
  </conditionalFormatting>
  <conditionalFormatting sqref="B248">
    <cfRule type="beginsWith" dxfId="1114" priority="2171" stopIfTrue="1" operator="beginsWith" text="Functioning At Risk">
      <formula>LEFT(B248,LEN("Functioning At Risk"))="Functioning At Risk"</formula>
    </cfRule>
    <cfRule type="beginsWith" dxfId="1113" priority="2172" stopIfTrue="1" operator="beginsWith" text="Not Functioning">
      <formula>LEFT(B248,LEN("Not Functioning"))="Not Functioning"</formula>
    </cfRule>
    <cfRule type="containsText" dxfId="1112" priority="2173" operator="containsText" text="Functioning">
      <formula>NOT(ISERROR(SEARCH("Functioning",B248)))</formula>
    </cfRule>
  </conditionalFormatting>
  <conditionalFormatting sqref="C231">
    <cfRule type="beginsWith" dxfId="1111" priority="2168" stopIfTrue="1" operator="beginsWith" text="Functioning At Risk">
      <formula>LEFT(C231,LEN("Functioning At Risk"))="Functioning At Risk"</formula>
    </cfRule>
    <cfRule type="beginsWith" dxfId="1110" priority="2169" stopIfTrue="1" operator="beginsWith" text="Not Functioning">
      <formula>LEFT(C231,LEN("Not Functioning"))="Not Functioning"</formula>
    </cfRule>
    <cfRule type="containsText" dxfId="1109" priority="2170" operator="containsText" text="Functioning">
      <formula>NOT(ISERROR(SEARCH("Functioning",C231)))</formula>
    </cfRule>
  </conditionalFormatting>
  <conditionalFormatting sqref="C239">
    <cfRule type="beginsWith" dxfId="1108" priority="2159" stopIfTrue="1" operator="beginsWith" text="Functioning At Risk">
      <formula>LEFT(C239,LEN("Functioning At Risk"))="Functioning At Risk"</formula>
    </cfRule>
    <cfRule type="beginsWith" dxfId="1107" priority="2160" stopIfTrue="1" operator="beginsWith" text="Not Functioning">
      <formula>LEFT(C239,LEN("Not Functioning"))="Not Functioning"</formula>
    </cfRule>
    <cfRule type="containsText" dxfId="1106" priority="2161" operator="containsText" text="Functioning">
      <formula>NOT(ISERROR(SEARCH("Functioning",C239)))</formula>
    </cfRule>
  </conditionalFormatting>
  <conditionalFormatting sqref="C232">
    <cfRule type="beginsWith" dxfId="1105" priority="2147" stopIfTrue="1" operator="beginsWith" text="Functioning At Risk">
      <formula>LEFT(C232,LEN("Functioning At Risk"))="Functioning At Risk"</formula>
    </cfRule>
    <cfRule type="beginsWith" dxfId="1104" priority="2148" stopIfTrue="1" operator="beginsWith" text="Not Functioning">
      <formula>LEFT(C232,LEN("Not Functioning"))="Not Functioning"</formula>
    </cfRule>
    <cfRule type="containsText" dxfId="1103" priority="2149" operator="containsText" text="Functioning">
      <formula>NOT(ISERROR(SEARCH("Functioning",C232)))</formula>
    </cfRule>
  </conditionalFormatting>
  <conditionalFormatting sqref="B235:C236 B237">
    <cfRule type="beginsWith" dxfId="1102" priority="2162" stopIfTrue="1" operator="beginsWith" text="Functioning At Risk">
      <formula>LEFT(B235,LEN("Functioning At Risk"))="Functioning At Risk"</formula>
    </cfRule>
    <cfRule type="beginsWith" dxfId="1101" priority="2163" stopIfTrue="1" operator="beginsWith" text="Not Functioning">
      <formula>LEFT(B235,LEN("Not Functioning"))="Not Functioning"</formula>
    </cfRule>
    <cfRule type="containsText" dxfId="1100" priority="2164" operator="containsText" text="Functioning">
      <formula>NOT(ISERROR(SEARCH("Functioning",B235)))</formula>
    </cfRule>
  </conditionalFormatting>
  <conditionalFormatting sqref="C237">
    <cfRule type="beginsWith" dxfId="1099" priority="2156" stopIfTrue="1" operator="beginsWith" text="Functioning At Risk">
      <formula>LEFT(C237,LEN("Functioning At Risk"))="Functioning At Risk"</formula>
    </cfRule>
    <cfRule type="beginsWith" dxfId="1098" priority="2157" stopIfTrue="1" operator="beginsWith" text="Not Functioning">
      <formula>LEFT(C237,LEN("Not Functioning"))="Not Functioning"</formula>
    </cfRule>
    <cfRule type="containsText" dxfId="1097" priority="2158" operator="containsText" text="Functioning">
      <formula>NOT(ISERROR(SEARCH("Functioning",C237)))</formula>
    </cfRule>
  </conditionalFormatting>
  <conditionalFormatting sqref="C234">
    <cfRule type="beginsWith" dxfId="1096" priority="2150" stopIfTrue="1" operator="beginsWith" text="Functioning At Risk">
      <formula>LEFT(C234,LEN("Functioning At Risk"))="Functioning At Risk"</formula>
    </cfRule>
    <cfRule type="beginsWith" dxfId="1095" priority="2151" stopIfTrue="1" operator="beginsWith" text="Not Functioning">
      <formula>LEFT(C234,LEN("Not Functioning"))="Not Functioning"</formula>
    </cfRule>
    <cfRule type="containsText" dxfId="1094" priority="2152" operator="containsText" text="Functioning">
      <formula>NOT(ISERROR(SEARCH("Functioning",C234)))</formula>
    </cfRule>
  </conditionalFormatting>
  <conditionalFormatting sqref="A259">
    <cfRule type="beginsWith" dxfId="1093" priority="2144" stopIfTrue="1" operator="beginsWith" text="Functioning At Risk">
      <formula>LEFT(A259,LEN("Functioning At Risk"))="Functioning At Risk"</formula>
    </cfRule>
    <cfRule type="beginsWith" dxfId="1092" priority="2145" stopIfTrue="1" operator="beginsWith" text="Not Functioning">
      <formula>LEFT(A259,LEN("Not Functioning"))="Not Functioning"</formula>
    </cfRule>
    <cfRule type="containsText" dxfId="1091" priority="2146" operator="containsText" text="Functioning">
      <formula>NOT(ISERROR(SEARCH("Functioning",A259)))</formula>
    </cfRule>
  </conditionalFormatting>
  <conditionalFormatting sqref="A257 A276:A277">
    <cfRule type="beginsWith" dxfId="1090" priority="2141" stopIfTrue="1" operator="beginsWith" text="Functioning At Risk">
      <formula>LEFT(A257,LEN("Functioning At Risk"))="Functioning At Risk"</formula>
    </cfRule>
    <cfRule type="beginsWith" dxfId="1089" priority="2142" stopIfTrue="1" operator="beginsWith" text="Not Functioning">
      <formula>LEFT(A257,LEN("Not Functioning"))="Not Functioning"</formula>
    </cfRule>
    <cfRule type="containsText" dxfId="1088" priority="2143" operator="containsText" text="Functioning">
      <formula>NOT(ISERROR(SEARCH("Functioning",A257)))</formula>
    </cfRule>
  </conditionalFormatting>
  <conditionalFormatting sqref="A272">
    <cfRule type="beginsWith" dxfId="1087" priority="2138" stopIfTrue="1" operator="beginsWith" text="Functioning At Risk">
      <formula>LEFT(A272,LEN("Functioning At Risk"))="Functioning At Risk"</formula>
    </cfRule>
    <cfRule type="beginsWith" dxfId="1086" priority="2139" stopIfTrue="1" operator="beginsWith" text="Not Functioning">
      <formula>LEFT(A272,LEN("Not Functioning"))="Not Functioning"</formula>
    </cfRule>
    <cfRule type="containsText" dxfId="1085" priority="2140" operator="containsText" text="Functioning">
      <formula>NOT(ISERROR(SEARCH("Functioning",A272)))</formula>
    </cfRule>
  </conditionalFormatting>
  <conditionalFormatting sqref="D276:D278 D263:D265 D257:D258 D268:D271">
    <cfRule type="beginsWith" dxfId="1084" priority="2135" stopIfTrue="1" operator="beginsWith" text="Functioning At Risk">
      <formula>LEFT(D257,LEN("Functioning At Risk"))="Functioning At Risk"</formula>
    </cfRule>
    <cfRule type="beginsWith" dxfId="1083" priority="2136" stopIfTrue="1" operator="beginsWith" text="Not Functioning">
      <formula>LEFT(D257,LEN("Not Functioning"))="Not Functioning"</formula>
    </cfRule>
    <cfRule type="containsText" dxfId="1082" priority="2137" operator="containsText" text="Functioning">
      <formula>NOT(ISERROR(SEARCH("Functioning",D257)))</formula>
    </cfRule>
  </conditionalFormatting>
  <conditionalFormatting sqref="D266">
    <cfRule type="beginsWith" dxfId="1081" priority="2129" stopIfTrue="1" operator="beginsWith" text="Functioning At Risk">
      <formula>LEFT(D266,LEN("Functioning At Risk"))="Functioning At Risk"</formula>
    </cfRule>
    <cfRule type="beginsWith" dxfId="1080" priority="2130" stopIfTrue="1" operator="beginsWith" text="Not Functioning">
      <formula>LEFT(D266,LEN("Not Functioning"))="Not Functioning"</formula>
    </cfRule>
    <cfRule type="containsText" dxfId="1079" priority="2131" operator="containsText" text="Functioning">
      <formula>NOT(ISERROR(SEARCH("Functioning",D266)))</formula>
    </cfRule>
  </conditionalFormatting>
  <conditionalFormatting sqref="D272">
    <cfRule type="beginsWith" dxfId="1078" priority="2132" stopIfTrue="1" operator="beginsWith" text="Functioning At Risk">
      <formula>LEFT(D272,LEN("Functioning At Risk"))="Functioning At Risk"</formula>
    </cfRule>
    <cfRule type="beginsWith" dxfId="1077" priority="2133" stopIfTrue="1" operator="beginsWith" text="Not Functioning">
      <formula>LEFT(D272,LEN("Not Functioning"))="Not Functioning"</formula>
    </cfRule>
    <cfRule type="containsText" dxfId="1076" priority="2134" operator="containsText" text="Functioning">
      <formula>NOT(ISERROR(SEARCH("Functioning",D272)))</formula>
    </cfRule>
  </conditionalFormatting>
  <conditionalFormatting sqref="D267">
    <cfRule type="beginsWith" dxfId="1075" priority="2126" stopIfTrue="1" operator="beginsWith" text="Functioning At Risk">
      <formula>LEFT(D267,LEN("Functioning At Risk"))="Functioning At Risk"</formula>
    </cfRule>
    <cfRule type="beginsWith" dxfId="1074" priority="2127" stopIfTrue="1" operator="beginsWith" text="Not Functioning">
      <formula>LEFT(D267,LEN("Not Functioning"))="Not Functioning"</formula>
    </cfRule>
    <cfRule type="containsText" dxfId="1073" priority="2128" operator="containsText" text="Functioning">
      <formula>NOT(ISERROR(SEARCH("Functioning",D267)))</formula>
    </cfRule>
  </conditionalFormatting>
  <conditionalFormatting sqref="D259">
    <cfRule type="beginsWith" dxfId="1072" priority="2123" stopIfTrue="1" operator="beginsWith" text="Functioning At Risk">
      <formula>LEFT(D259,LEN("Functioning At Risk"))="Functioning At Risk"</formula>
    </cfRule>
    <cfRule type="beginsWith" dxfId="1071" priority="2124" stopIfTrue="1" operator="beginsWith" text="Not Functioning">
      <formula>LEFT(D259,LEN("Not Functioning"))="Not Functioning"</formula>
    </cfRule>
    <cfRule type="containsText" dxfId="1070" priority="2125" operator="containsText" text="Functioning">
      <formula>NOT(ISERROR(SEARCH("Functioning",D259)))</formula>
    </cfRule>
  </conditionalFormatting>
  <conditionalFormatting sqref="D260">
    <cfRule type="beginsWith" dxfId="1069" priority="2117" stopIfTrue="1" operator="beginsWith" text="Functioning At Risk">
      <formula>LEFT(D260,LEN("Functioning At Risk"))="Functioning At Risk"</formula>
    </cfRule>
    <cfRule type="beginsWith" dxfId="1068" priority="2118" stopIfTrue="1" operator="beginsWith" text="Not Functioning">
      <formula>LEFT(D260,LEN("Not Functioning"))="Not Functioning"</formula>
    </cfRule>
    <cfRule type="containsText" dxfId="1067" priority="2119" operator="containsText" text="Functioning">
      <formula>NOT(ISERROR(SEARCH("Functioning",D260)))</formula>
    </cfRule>
  </conditionalFormatting>
  <conditionalFormatting sqref="D262">
    <cfRule type="beginsWith" dxfId="1066" priority="2120" stopIfTrue="1" operator="beginsWith" text="Functioning At Risk">
      <formula>LEFT(D262,LEN("Functioning At Risk"))="Functioning At Risk"</formula>
    </cfRule>
    <cfRule type="beginsWith" dxfId="1065" priority="2121" stopIfTrue="1" operator="beginsWith" text="Not Functioning">
      <formula>LEFT(D262,LEN("Not Functioning"))="Not Functioning"</formula>
    </cfRule>
    <cfRule type="containsText" dxfId="1064" priority="2122" operator="containsText" text="Functioning">
      <formula>NOT(ISERROR(SEARCH("Functioning",D262)))</formula>
    </cfRule>
  </conditionalFormatting>
  <conditionalFormatting sqref="B268:C268 B257:C257 B259 C258 B278 C269:C271 B273:B275">
    <cfRule type="beginsWith" dxfId="1063" priority="2114" stopIfTrue="1" operator="beginsWith" text="Functioning At Risk">
      <formula>LEFT(B257,LEN("Functioning At Risk"))="Functioning At Risk"</formula>
    </cfRule>
    <cfRule type="beginsWith" dxfId="1062" priority="2115" stopIfTrue="1" operator="beginsWith" text="Not Functioning">
      <formula>LEFT(B257,LEN("Not Functioning"))="Not Functioning"</formula>
    </cfRule>
    <cfRule type="containsText" dxfId="1061" priority="2116" operator="containsText" text="Functioning">
      <formula>NOT(ISERROR(SEARCH("Functioning",B257)))</formula>
    </cfRule>
  </conditionalFormatting>
  <conditionalFormatting sqref="B260">
    <cfRule type="beginsWith" dxfId="1060" priority="2111" stopIfTrue="1" operator="beginsWith" text="Functioning At Risk">
      <formula>LEFT(B260,LEN("Functioning At Risk"))="Functioning At Risk"</formula>
    </cfRule>
    <cfRule type="beginsWith" dxfId="1059" priority="2112" stopIfTrue="1" operator="beginsWith" text="Not Functioning">
      <formula>LEFT(B260,LEN("Not Functioning"))="Not Functioning"</formula>
    </cfRule>
    <cfRule type="containsText" dxfId="1058" priority="2113" operator="containsText" text="Functioning">
      <formula>NOT(ISERROR(SEARCH("Functioning",B260)))</formula>
    </cfRule>
  </conditionalFormatting>
  <conditionalFormatting sqref="B272">
    <cfRule type="beginsWith" dxfId="1057" priority="2108" stopIfTrue="1" operator="beginsWith" text="Functioning At Risk">
      <formula>LEFT(B272,LEN("Functioning At Risk"))="Functioning At Risk"</formula>
    </cfRule>
    <cfRule type="beginsWith" dxfId="1056" priority="2109" stopIfTrue="1" operator="beginsWith" text="Not Functioning">
      <formula>LEFT(B272,LEN("Not Functioning"))="Not Functioning"</formula>
    </cfRule>
    <cfRule type="containsText" dxfId="1055" priority="2110" operator="containsText" text="Functioning">
      <formula>NOT(ISERROR(SEARCH("Functioning",B272)))</formula>
    </cfRule>
  </conditionalFormatting>
  <conditionalFormatting sqref="B276">
    <cfRule type="beginsWith" dxfId="1054" priority="2105" stopIfTrue="1" operator="beginsWith" text="Functioning At Risk">
      <formula>LEFT(B276,LEN("Functioning At Risk"))="Functioning At Risk"</formula>
    </cfRule>
    <cfRule type="beginsWith" dxfId="1053" priority="2106" stopIfTrue="1" operator="beginsWith" text="Not Functioning">
      <formula>LEFT(B276,LEN("Not Functioning"))="Not Functioning"</formula>
    </cfRule>
    <cfRule type="containsText" dxfId="1052" priority="2107" operator="containsText" text="Functioning">
      <formula>NOT(ISERROR(SEARCH("Functioning",B276)))</formula>
    </cfRule>
  </conditionalFormatting>
  <conditionalFormatting sqref="C259">
    <cfRule type="beginsWith" dxfId="1051" priority="2102" stopIfTrue="1" operator="beginsWith" text="Functioning At Risk">
      <formula>LEFT(C259,LEN("Functioning At Risk"))="Functioning At Risk"</formula>
    </cfRule>
    <cfRule type="beginsWith" dxfId="1050" priority="2103" stopIfTrue="1" operator="beginsWith" text="Not Functioning">
      <formula>LEFT(C259,LEN("Not Functioning"))="Not Functioning"</formula>
    </cfRule>
    <cfRule type="containsText" dxfId="1049" priority="2104" operator="containsText" text="Functioning">
      <formula>NOT(ISERROR(SEARCH("Functioning",C259)))</formula>
    </cfRule>
  </conditionalFormatting>
  <conditionalFormatting sqref="C267">
    <cfRule type="beginsWith" dxfId="1048" priority="2093" stopIfTrue="1" operator="beginsWith" text="Functioning At Risk">
      <formula>LEFT(C267,LEN("Functioning At Risk"))="Functioning At Risk"</formula>
    </cfRule>
    <cfRule type="beginsWith" dxfId="1047" priority="2094" stopIfTrue="1" operator="beginsWith" text="Not Functioning">
      <formula>LEFT(C267,LEN("Not Functioning"))="Not Functioning"</formula>
    </cfRule>
    <cfRule type="containsText" dxfId="1046" priority="2095" operator="containsText" text="Functioning">
      <formula>NOT(ISERROR(SEARCH("Functioning",C267)))</formula>
    </cfRule>
  </conditionalFormatting>
  <conditionalFormatting sqref="C260">
    <cfRule type="beginsWith" dxfId="1045" priority="2081" stopIfTrue="1" operator="beginsWith" text="Functioning At Risk">
      <formula>LEFT(C260,LEN("Functioning At Risk"))="Functioning At Risk"</formula>
    </cfRule>
    <cfRule type="beginsWith" dxfId="1044" priority="2082" stopIfTrue="1" operator="beginsWith" text="Not Functioning">
      <formula>LEFT(C260,LEN("Not Functioning"))="Not Functioning"</formula>
    </cfRule>
    <cfRule type="containsText" dxfId="1043" priority="2083" operator="containsText" text="Functioning">
      <formula>NOT(ISERROR(SEARCH("Functioning",C260)))</formula>
    </cfRule>
  </conditionalFormatting>
  <conditionalFormatting sqref="B263:C264 B265">
    <cfRule type="beginsWith" dxfId="1042" priority="2096" stopIfTrue="1" operator="beginsWith" text="Functioning At Risk">
      <formula>LEFT(B263,LEN("Functioning At Risk"))="Functioning At Risk"</formula>
    </cfRule>
    <cfRule type="beginsWith" dxfId="1041" priority="2097" stopIfTrue="1" operator="beginsWith" text="Not Functioning">
      <formula>LEFT(B263,LEN("Not Functioning"))="Not Functioning"</formula>
    </cfRule>
    <cfRule type="containsText" dxfId="1040" priority="2098" operator="containsText" text="Functioning">
      <formula>NOT(ISERROR(SEARCH("Functioning",B263)))</formula>
    </cfRule>
  </conditionalFormatting>
  <conditionalFormatting sqref="C265">
    <cfRule type="beginsWith" dxfId="1039" priority="2090" stopIfTrue="1" operator="beginsWith" text="Functioning At Risk">
      <formula>LEFT(C265,LEN("Functioning At Risk"))="Functioning At Risk"</formula>
    </cfRule>
    <cfRule type="beginsWith" dxfId="1038" priority="2091" stopIfTrue="1" operator="beginsWith" text="Not Functioning">
      <formula>LEFT(C265,LEN("Not Functioning"))="Not Functioning"</formula>
    </cfRule>
    <cfRule type="containsText" dxfId="1037" priority="2092" operator="containsText" text="Functioning">
      <formula>NOT(ISERROR(SEARCH("Functioning",C265)))</formula>
    </cfRule>
  </conditionalFormatting>
  <conditionalFormatting sqref="C262">
    <cfRule type="beginsWith" dxfId="1036" priority="2084" stopIfTrue="1" operator="beginsWith" text="Functioning At Risk">
      <formula>LEFT(C262,LEN("Functioning At Risk"))="Functioning At Risk"</formula>
    </cfRule>
    <cfRule type="beginsWith" dxfId="1035" priority="2085" stopIfTrue="1" operator="beginsWith" text="Not Functioning">
      <formula>LEFT(C262,LEN("Not Functioning"))="Not Functioning"</formula>
    </cfRule>
    <cfRule type="containsText" dxfId="1034" priority="2086" operator="containsText" text="Functioning">
      <formula>NOT(ISERROR(SEARCH("Functioning",C262)))</formula>
    </cfRule>
  </conditionalFormatting>
  <conditionalFormatting sqref="A287">
    <cfRule type="beginsWith" dxfId="1033" priority="2078" stopIfTrue="1" operator="beginsWith" text="Functioning At Risk">
      <formula>LEFT(A287,LEN("Functioning At Risk"))="Functioning At Risk"</formula>
    </cfRule>
    <cfRule type="beginsWith" dxfId="1032" priority="2079" stopIfTrue="1" operator="beginsWith" text="Not Functioning">
      <formula>LEFT(A287,LEN("Not Functioning"))="Not Functioning"</formula>
    </cfRule>
    <cfRule type="containsText" dxfId="1031" priority="2080" operator="containsText" text="Functioning">
      <formula>NOT(ISERROR(SEARCH("Functioning",A287)))</formula>
    </cfRule>
  </conditionalFormatting>
  <conditionalFormatting sqref="A285 A304:A305">
    <cfRule type="beginsWith" dxfId="1030" priority="2075" stopIfTrue="1" operator="beginsWith" text="Functioning At Risk">
      <formula>LEFT(A285,LEN("Functioning At Risk"))="Functioning At Risk"</formula>
    </cfRule>
    <cfRule type="beginsWith" dxfId="1029" priority="2076" stopIfTrue="1" operator="beginsWith" text="Not Functioning">
      <formula>LEFT(A285,LEN("Not Functioning"))="Not Functioning"</formula>
    </cfRule>
    <cfRule type="containsText" dxfId="1028" priority="2077" operator="containsText" text="Functioning">
      <formula>NOT(ISERROR(SEARCH("Functioning",A285)))</formula>
    </cfRule>
  </conditionalFormatting>
  <conditionalFormatting sqref="A300">
    <cfRule type="beginsWith" dxfId="1027" priority="2072" stopIfTrue="1" operator="beginsWith" text="Functioning At Risk">
      <formula>LEFT(A300,LEN("Functioning At Risk"))="Functioning At Risk"</formula>
    </cfRule>
    <cfRule type="beginsWith" dxfId="1026" priority="2073" stopIfTrue="1" operator="beginsWith" text="Not Functioning">
      <formula>LEFT(A300,LEN("Not Functioning"))="Not Functioning"</formula>
    </cfRule>
    <cfRule type="containsText" dxfId="1025" priority="2074" operator="containsText" text="Functioning">
      <formula>NOT(ISERROR(SEARCH("Functioning",A300)))</formula>
    </cfRule>
  </conditionalFormatting>
  <conditionalFormatting sqref="D304:D306 D291:D293 D285:D286 D296:D299">
    <cfRule type="beginsWith" dxfId="1024" priority="2069" stopIfTrue="1" operator="beginsWith" text="Functioning At Risk">
      <formula>LEFT(D285,LEN("Functioning At Risk"))="Functioning At Risk"</formula>
    </cfRule>
    <cfRule type="beginsWith" dxfId="1023" priority="2070" stopIfTrue="1" operator="beginsWith" text="Not Functioning">
      <formula>LEFT(D285,LEN("Not Functioning"))="Not Functioning"</formula>
    </cfRule>
    <cfRule type="containsText" dxfId="1022" priority="2071" operator="containsText" text="Functioning">
      <formula>NOT(ISERROR(SEARCH("Functioning",D285)))</formula>
    </cfRule>
  </conditionalFormatting>
  <conditionalFormatting sqref="D294">
    <cfRule type="beginsWith" dxfId="1021" priority="2063" stopIfTrue="1" operator="beginsWith" text="Functioning At Risk">
      <formula>LEFT(D294,LEN("Functioning At Risk"))="Functioning At Risk"</formula>
    </cfRule>
    <cfRule type="beginsWith" dxfId="1020" priority="2064" stopIfTrue="1" operator="beginsWith" text="Not Functioning">
      <formula>LEFT(D294,LEN("Not Functioning"))="Not Functioning"</formula>
    </cfRule>
    <cfRule type="containsText" dxfId="1019" priority="2065" operator="containsText" text="Functioning">
      <formula>NOT(ISERROR(SEARCH("Functioning",D294)))</formula>
    </cfRule>
  </conditionalFormatting>
  <conditionalFormatting sqref="D300">
    <cfRule type="beginsWith" dxfId="1018" priority="2066" stopIfTrue="1" operator="beginsWith" text="Functioning At Risk">
      <formula>LEFT(D300,LEN("Functioning At Risk"))="Functioning At Risk"</formula>
    </cfRule>
    <cfRule type="beginsWith" dxfId="1017" priority="2067" stopIfTrue="1" operator="beginsWith" text="Not Functioning">
      <formula>LEFT(D300,LEN("Not Functioning"))="Not Functioning"</formula>
    </cfRule>
    <cfRule type="containsText" dxfId="1016" priority="2068" operator="containsText" text="Functioning">
      <formula>NOT(ISERROR(SEARCH("Functioning",D300)))</formula>
    </cfRule>
  </conditionalFormatting>
  <conditionalFormatting sqref="D295">
    <cfRule type="beginsWith" dxfId="1015" priority="2060" stopIfTrue="1" operator="beginsWith" text="Functioning At Risk">
      <formula>LEFT(D295,LEN("Functioning At Risk"))="Functioning At Risk"</formula>
    </cfRule>
    <cfRule type="beginsWith" dxfId="1014" priority="2061" stopIfTrue="1" operator="beginsWith" text="Not Functioning">
      <formula>LEFT(D295,LEN("Not Functioning"))="Not Functioning"</formula>
    </cfRule>
    <cfRule type="containsText" dxfId="1013" priority="2062" operator="containsText" text="Functioning">
      <formula>NOT(ISERROR(SEARCH("Functioning",D295)))</formula>
    </cfRule>
  </conditionalFormatting>
  <conditionalFormatting sqref="D287">
    <cfRule type="beginsWith" dxfId="1012" priority="2057" stopIfTrue="1" operator="beginsWith" text="Functioning At Risk">
      <formula>LEFT(D287,LEN("Functioning At Risk"))="Functioning At Risk"</formula>
    </cfRule>
    <cfRule type="beginsWith" dxfId="1011" priority="2058" stopIfTrue="1" operator="beginsWith" text="Not Functioning">
      <formula>LEFT(D287,LEN("Not Functioning"))="Not Functioning"</formula>
    </cfRule>
    <cfRule type="containsText" dxfId="1010" priority="2059" operator="containsText" text="Functioning">
      <formula>NOT(ISERROR(SEARCH("Functioning",D287)))</formula>
    </cfRule>
  </conditionalFormatting>
  <conditionalFormatting sqref="D288">
    <cfRule type="beginsWith" dxfId="1009" priority="2051" stopIfTrue="1" operator="beginsWith" text="Functioning At Risk">
      <formula>LEFT(D288,LEN("Functioning At Risk"))="Functioning At Risk"</formula>
    </cfRule>
    <cfRule type="beginsWith" dxfId="1008" priority="2052" stopIfTrue="1" operator="beginsWith" text="Not Functioning">
      <formula>LEFT(D288,LEN("Not Functioning"))="Not Functioning"</formula>
    </cfRule>
    <cfRule type="containsText" dxfId="1007" priority="2053" operator="containsText" text="Functioning">
      <formula>NOT(ISERROR(SEARCH("Functioning",D288)))</formula>
    </cfRule>
  </conditionalFormatting>
  <conditionalFormatting sqref="D290">
    <cfRule type="beginsWith" dxfId="1006" priority="2054" stopIfTrue="1" operator="beginsWith" text="Functioning At Risk">
      <formula>LEFT(D290,LEN("Functioning At Risk"))="Functioning At Risk"</formula>
    </cfRule>
    <cfRule type="beginsWith" dxfId="1005" priority="2055" stopIfTrue="1" operator="beginsWith" text="Not Functioning">
      <formula>LEFT(D290,LEN("Not Functioning"))="Not Functioning"</formula>
    </cfRule>
    <cfRule type="containsText" dxfId="1004" priority="2056" operator="containsText" text="Functioning">
      <formula>NOT(ISERROR(SEARCH("Functioning",D290)))</formula>
    </cfRule>
  </conditionalFormatting>
  <conditionalFormatting sqref="B296:C296 B285:C285 B287 C286 B306 C297:C299 B301:B303">
    <cfRule type="beginsWith" dxfId="1003" priority="2048" stopIfTrue="1" operator="beginsWith" text="Functioning At Risk">
      <formula>LEFT(B285,LEN("Functioning At Risk"))="Functioning At Risk"</formula>
    </cfRule>
    <cfRule type="beginsWith" dxfId="1002" priority="2049" stopIfTrue="1" operator="beginsWith" text="Not Functioning">
      <formula>LEFT(B285,LEN("Not Functioning"))="Not Functioning"</formula>
    </cfRule>
    <cfRule type="containsText" dxfId="1001" priority="2050" operator="containsText" text="Functioning">
      <formula>NOT(ISERROR(SEARCH("Functioning",B285)))</formula>
    </cfRule>
  </conditionalFormatting>
  <conditionalFormatting sqref="B288">
    <cfRule type="beginsWith" dxfId="1000" priority="2045" stopIfTrue="1" operator="beginsWith" text="Functioning At Risk">
      <formula>LEFT(B288,LEN("Functioning At Risk"))="Functioning At Risk"</formula>
    </cfRule>
    <cfRule type="beginsWith" dxfId="999" priority="2046" stopIfTrue="1" operator="beginsWith" text="Not Functioning">
      <formula>LEFT(B288,LEN("Not Functioning"))="Not Functioning"</formula>
    </cfRule>
    <cfRule type="containsText" dxfId="998" priority="2047" operator="containsText" text="Functioning">
      <formula>NOT(ISERROR(SEARCH("Functioning",B288)))</formula>
    </cfRule>
  </conditionalFormatting>
  <conditionalFormatting sqref="B300">
    <cfRule type="beginsWith" dxfId="997" priority="2042" stopIfTrue="1" operator="beginsWith" text="Functioning At Risk">
      <formula>LEFT(B300,LEN("Functioning At Risk"))="Functioning At Risk"</formula>
    </cfRule>
    <cfRule type="beginsWith" dxfId="996" priority="2043" stopIfTrue="1" operator="beginsWith" text="Not Functioning">
      <formula>LEFT(B300,LEN("Not Functioning"))="Not Functioning"</formula>
    </cfRule>
    <cfRule type="containsText" dxfId="995" priority="2044" operator="containsText" text="Functioning">
      <formula>NOT(ISERROR(SEARCH("Functioning",B300)))</formula>
    </cfRule>
  </conditionalFormatting>
  <conditionalFormatting sqref="B304">
    <cfRule type="beginsWith" dxfId="994" priority="2039" stopIfTrue="1" operator="beginsWith" text="Functioning At Risk">
      <formula>LEFT(B304,LEN("Functioning At Risk"))="Functioning At Risk"</formula>
    </cfRule>
    <cfRule type="beginsWith" dxfId="993" priority="2040" stopIfTrue="1" operator="beginsWith" text="Not Functioning">
      <formula>LEFT(B304,LEN("Not Functioning"))="Not Functioning"</formula>
    </cfRule>
    <cfRule type="containsText" dxfId="992" priority="2041" operator="containsText" text="Functioning">
      <formula>NOT(ISERROR(SEARCH("Functioning",B304)))</formula>
    </cfRule>
  </conditionalFormatting>
  <conditionalFormatting sqref="C287">
    <cfRule type="beginsWith" dxfId="991" priority="2036" stopIfTrue="1" operator="beginsWith" text="Functioning At Risk">
      <formula>LEFT(C287,LEN("Functioning At Risk"))="Functioning At Risk"</formula>
    </cfRule>
    <cfRule type="beginsWith" dxfId="990" priority="2037" stopIfTrue="1" operator="beginsWith" text="Not Functioning">
      <formula>LEFT(C287,LEN("Not Functioning"))="Not Functioning"</formula>
    </cfRule>
    <cfRule type="containsText" dxfId="989" priority="2038" operator="containsText" text="Functioning">
      <formula>NOT(ISERROR(SEARCH("Functioning",C287)))</formula>
    </cfRule>
  </conditionalFormatting>
  <conditionalFormatting sqref="C295">
    <cfRule type="beginsWith" dxfId="988" priority="2027" stopIfTrue="1" operator="beginsWith" text="Functioning At Risk">
      <formula>LEFT(C295,LEN("Functioning At Risk"))="Functioning At Risk"</formula>
    </cfRule>
    <cfRule type="beginsWith" dxfId="987" priority="2028" stopIfTrue="1" operator="beginsWith" text="Not Functioning">
      <formula>LEFT(C295,LEN("Not Functioning"))="Not Functioning"</formula>
    </cfRule>
    <cfRule type="containsText" dxfId="986" priority="2029" operator="containsText" text="Functioning">
      <formula>NOT(ISERROR(SEARCH("Functioning",C295)))</formula>
    </cfRule>
  </conditionalFormatting>
  <conditionalFormatting sqref="C288">
    <cfRule type="beginsWith" dxfId="985" priority="2015" stopIfTrue="1" operator="beginsWith" text="Functioning At Risk">
      <formula>LEFT(C288,LEN("Functioning At Risk"))="Functioning At Risk"</formula>
    </cfRule>
    <cfRule type="beginsWith" dxfId="984" priority="2016" stopIfTrue="1" operator="beginsWith" text="Not Functioning">
      <formula>LEFT(C288,LEN("Not Functioning"))="Not Functioning"</formula>
    </cfRule>
    <cfRule type="containsText" dxfId="983" priority="2017" operator="containsText" text="Functioning">
      <formula>NOT(ISERROR(SEARCH("Functioning",C288)))</formula>
    </cfRule>
  </conditionalFormatting>
  <conditionalFormatting sqref="B291:C292 B293">
    <cfRule type="beginsWith" dxfId="982" priority="2030" stopIfTrue="1" operator="beginsWith" text="Functioning At Risk">
      <formula>LEFT(B291,LEN("Functioning At Risk"))="Functioning At Risk"</formula>
    </cfRule>
    <cfRule type="beginsWith" dxfId="981" priority="2031" stopIfTrue="1" operator="beginsWith" text="Not Functioning">
      <formula>LEFT(B291,LEN("Not Functioning"))="Not Functioning"</formula>
    </cfRule>
    <cfRule type="containsText" dxfId="980" priority="2032" operator="containsText" text="Functioning">
      <formula>NOT(ISERROR(SEARCH("Functioning",B291)))</formula>
    </cfRule>
  </conditionalFormatting>
  <conditionalFormatting sqref="C293">
    <cfRule type="beginsWith" dxfId="979" priority="2024" stopIfTrue="1" operator="beginsWith" text="Functioning At Risk">
      <formula>LEFT(C293,LEN("Functioning At Risk"))="Functioning At Risk"</formula>
    </cfRule>
    <cfRule type="beginsWith" dxfId="978" priority="2025" stopIfTrue="1" operator="beginsWith" text="Not Functioning">
      <formula>LEFT(C293,LEN("Not Functioning"))="Not Functioning"</formula>
    </cfRule>
    <cfRule type="containsText" dxfId="977" priority="2026" operator="containsText" text="Functioning">
      <formula>NOT(ISERROR(SEARCH("Functioning",C293)))</formula>
    </cfRule>
  </conditionalFormatting>
  <conditionalFormatting sqref="C290">
    <cfRule type="beginsWith" dxfId="976" priority="2018" stopIfTrue="1" operator="beginsWith" text="Functioning At Risk">
      <formula>LEFT(C290,LEN("Functioning At Risk"))="Functioning At Risk"</formula>
    </cfRule>
    <cfRule type="beginsWith" dxfId="975" priority="2019" stopIfTrue="1" operator="beginsWith" text="Not Functioning">
      <formula>LEFT(C290,LEN("Not Functioning"))="Not Functioning"</formula>
    </cfRule>
    <cfRule type="containsText" dxfId="974" priority="2020" operator="containsText" text="Functioning">
      <formula>NOT(ISERROR(SEARCH("Functioning",C290)))</formula>
    </cfRule>
  </conditionalFormatting>
  <conditionalFormatting sqref="I52:I53 I48 I35 I33 G29">
    <cfRule type="beginsWith" dxfId="973" priority="1802" stopIfTrue="1" operator="beginsWith" text="Functioning At Risk">
      <formula>LEFT(G29,LEN("Functioning At Risk"))="Functioning At Risk"</formula>
    </cfRule>
    <cfRule type="beginsWith" dxfId="972" priority="1803" stopIfTrue="1" operator="beginsWith" text="Not Functioning">
      <formula>LEFT(G29,LEN("Not Functioning"))="Not Functioning"</formula>
    </cfRule>
    <cfRule type="containsText" dxfId="971" priority="1804" operator="containsText" text="Functioning">
      <formula>NOT(ISERROR(SEARCH("Functioning",G29)))</formula>
    </cfRule>
  </conditionalFormatting>
  <conditionalFormatting sqref="H48 H35 H33">
    <cfRule type="beginsWith" dxfId="970" priority="1799" stopIfTrue="1" operator="beginsWith" text="Functioning At Risk">
      <formula>LEFT(H33,LEN("Functioning At Risk"))="Functioning At Risk"</formula>
    </cfRule>
    <cfRule type="beginsWith" dxfId="969" priority="1800" stopIfTrue="1" operator="beginsWith" text="Not Functioning">
      <formula>LEFT(H33,LEN("Not Functioning"))="Not Functioning"</formula>
    </cfRule>
    <cfRule type="containsText" dxfId="968" priority="1801" operator="containsText" text="Functioning">
      <formula>NOT(ISERROR(SEARCH("Functioning",H33)))</formula>
    </cfRule>
  </conditionalFormatting>
  <conditionalFormatting sqref="I31">
    <cfRule type="beginsWith" dxfId="967" priority="1796" stopIfTrue="1" operator="beginsWith" text="Functioning At Risk">
      <formula>LEFT(I31,LEN("Functioning At Risk"))="Functioning At Risk"</formula>
    </cfRule>
    <cfRule type="beginsWith" dxfId="966" priority="1797" stopIfTrue="1" operator="beginsWith" text="Not Functioning">
      <formula>LEFT(I31,LEN("Not Functioning"))="Not Functioning"</formula>
    </cfRule>
    <cfRule type="containsText" dxfId="965" priority="1798" operator="containsText" text="Functioning">
      <formula>NOT(ISERROR(SEARCH("Functioning",I31)))</formula>
    </cfRule>
  </conditionalFormatting>
  <conditionalFormatting sqref="J31">
    <cfRule type="beginsWith" dxfId="964" priority="1790" stopIfTrue="1" operator="beginsWith" text="Functioning At Risk">
      <formula>LEFT(J31,LEN("Functioning At Risk"))="Functioning At Risk"</formula>
    </cfRule>
    <cfRule type="beginsWith" dxfId="963" priority="1791" stopIfTrue="1" operator="beginsWith" text="Not Functioning">
      <formula>LEFT(J31,LEN("Not Functioning"))="Not Functioning"</formula>
    </cfRule>
    <cfRule type="containsText" dxfId="962" priority="1792" operator="containsText" text="Functioning">
      <formula>NOT(ISERROR(SEARCH("Functioning",J31)))</formula>
    </cfRule>
  </conditionalFormatting>
  <conditionalFormatting sqref="H31">
    <cfRule type="beginsWith" dxfId="961" priority="1793" stopIfTrue="1" operator="beginsWith" text="Functioning At Risk">
      <formula>LEFT(H31,LEN("Functioning At Risk"))="Functioning At Risk"</formula>
    </cfRule>
    <cfRule type="beginsWith" dxfId="960" priority="1794" stopIfTrue="1" operator="beginsWith" text="Not Functioning">
      <formula>LEFT(H31,LEN("Not Functioning"))="Not Functioning"</formula>
    </cfRule>
    <cfRule type="containsText" dxfId="959" priority="1795" operator="containsText" text="Functioning">
      <formula>NOT(ISERROR(SEARCH("Functioning",H31)))</formula>
    </cfRule>
  </conditionalFormatting>
  <conditionalFormatting sqref="I80:I81 I76 I63 I61 G57">
    <cfRule type="beginsWith" dxfId="958" priority="1787" stopIfTrue="1" operator="beginsWith" text="Functioning At Risk">
      <formula>LEFT(G57,LEN("Functioning At Risk"))="Functioning At Risk"</formula>
    </cfRule>
    <cfRule type="beginsWith" dxfId="957" priority="1788" stopIfTrue="1" operator="beginsWith" text="Not Functioning">
      <formula>LEFT(G57,LEN("Not Functioning"))="Not Functioning"</formula>
    </cfRule>
    <cfRule type="containsText" dxfId="956" priority="1789" operator="containsText" text="Functioning">
      <formula>NOT(ISERROR(SEARCH("Functioning",G57)))</formula>
    </cfRule>
  </conditionalFormatting>
  <conditionalFormatting sqref="H76 H63 H61">
    <cfRule type="beginsWith" dxfId="955" priority="1784" stopIfTrue="1" operator="beginsWith" text="Functioning At Risk">
      <formula>LEFT(H61,LEN("Functioning At Risk"))="Functioning At Risk"</formula>
    </cfRule>
    <cfRule type="beginsWith" dxfId="954" priority="1785" stopIfTrue="1" operator="beginsWith" text="Not Functioning">
      <formula>LEFT(H61,LEN("Not Functioning"))="Not Functioning"</formula>
    </cfRule>
    <cfRule type="containsText" dxfId="953" priority="1786" operator="containsText" text="Functioning">
      <formula>NOT(ISERROR(SEARCH("Functioning",H61)))</formula>
    </cfRule>
  </conditionalFormatting>
  <conditionalFormatting sqref="I59">
    <cfRule type="beginsWith" dxfId="952" priority="1781" stopIfTrue="1" operator="beginsWith" text="Functioning At Risk">
      <formula>LEFT(I59,LEN("Functioning At Risk"))="Functioning At Risk"</formula>
    </cfRule>
    <cfRule type="beginsWith" dxfId="951" priority="1782" stopIfTrue="1" operator="beginsWith" text="Not Functioning">
      <formula>LEFT(I59,LEN("Not Functioning"))="Not Functioning"</formula>
    </cfRule>
    <cfRule type="containsText" dxfId="950" priority="1783" operator="containsText" text="Functioning">
      <formula>NOT(ISERROR(SEARCH("Functioning",I59)))</formula>
    </cfRule>
  </conditionalFormatting>
  <conditionalFormatting sqref="J59">
    <cfRule type="beginsWith" dxfId="949" priority="1775" stopIfTrue="1" operator="beginsWith" text="Functioning At Risk">
      <formula>LEFT(J59,LEN("Functioning At Risk"))="Functioning At Risk"</formula>
    </cfRule>
    <cfRule type="beginsWith" dxfId="948" priority="1776" stopIfTrue="1" operator="beginsWith" text="Not Functioning">
      <formula>LEFT(J59,LEN("Not Functioning"))="Not Functioning"</formula>
    </cfRule>
    <cfRule type="containsText" dxfId="947" priority="1777" operator="containsText" text="Functioning">
      <formula>NOT(ISERROR(SEARCH("Functioning",J59)))</formula>
    </cfRule>
  </conditionalFormatting>
  <conditionalFormatting sqref="H59">
    <cfRule type="beginsWith" dxfId="946" priority="1778" stopIfTrue="1" operator="beginsWith" text="Functioning At Risk">
      <formula>LEFT(H59,LEN("Functioning At Risk"))="Functioning At Risk"</formula>
    </cfRule>
    <cfRule type="beginsWith" dxfId="945" priority="1779" stopIfTrue="1" operator="beginsWith" text="Not Functioning">
      <formula>LEFT(H59,LEN("Not Functioning"))="Not Functioning"</formula>
    </cfRule>
    <cfRule type="containsText" dxfId="944" priority="1780" operator="containsText" text="Functioning">
      <formula>NOT(ISERROR(SEARCH("Functioning",H59)))</formula>
    </cfRule>
  </conditionalFormatting>
  <conditionalFormatting sqref="I108:I109 I104 I91 I89 G85 G86:J86">
    <cfRule type="beginsWith" dxfId="943" priority="1772" stopIfTrue="1" operator="beginsWith" text="Functioning At Risk">
      <formula>LEFT(G85,LEN("Functioning At Risk"))="Functioning At Risk"</formula>
    </cfRule>
    <cfRule type="beginsWith" dxfId="942" priority="1773" stopIfTrue="1" operator="beginsWith" text="Not Functioning">
      <formula>LEFT(G85,LEN("Not Functioning"))="Not Functioning"</formula>
    </cfRule>
    <cfRule type="containsText" dxfId="941" priority="1774" operator="containsText" text="Functioning">
      <formula>NOT(ISERROR(SEARCH("Functioning",G85)))</formula>
    </cfRule>
  </conditionalFormatting>
  <conditionalFormatting sqref="H104 H91 H89">
    <cfRule type="beginsWith" dxfId="940" priority="1769" stopIfTrue="1" operator="beginsWith" text="Functioning At Risk">
      <formula>LEFT(H89,LEN("Functioning At Risk"))="Functioning At Risk"</formula>
    </cfRule>
    <cfRule type="beginsWith" dxfId="939" priority="1770" stopIfTrue="1" operator="beginsWith" text="Not Functioning">
      <formula>LEFT(H89,LEN("Not Functioning"))="Not Functioning"</formula>
    </cfRule>
    <cfRule type="containsText" dxfId="938" priority="1771" operator="containsText" text="Functioning">
      <formula>NOT(ISERROR(SEARCH("Functioning",H89)))</formula>
    </cfRule>
  </conditionalFormatting>
  <conditionalFormatting sqref="I87">
    <cfRule type="beginsWith" dxfId="937" priority="1766" stopIfTrue="1" operator="beginsWith" text="Functioning At Risk">
      <formula>LEFT(I87,LEN("Functioning At Risk"))="Functioning At Risk"</formula>
    </cfRule>
    <cfRule type="beginsWith" dxfId="936" priority="1767" stopIfTrue="1" operator="beginsWith" text="Not Functioning">
      <formula>LEFT(I87,LEN("Not Functioning"))="Not Functioning"</formula>
    </cfRule>
    <cfRule type="containsText" dxfId="935" priority="1768" operator="containsText" text="Functioning">
      <formula>NOT(ISERROR(SEARCH("Functioning",I87)))</formula>
    </cfRule>
  </conditionalFormatting>
  <conditionalFormatting sqref="J87">
    <cfRule type="beginsWith" dxfId="934" priority="1760" stopIfTrue="1" operator="beginsWith" text="Functioning At Risk">
      <formula>LEFT(J87,LEN("Functioning At Risk"))="Functioning At Risk"</formula>
    </cfRule>
    <cfRule type="beginsWith" dxfId="933" priority="1761" stopIfTrue="1" operator="beginsWith" text="Not Functioning">
      <formula>LEFT(J87,LEN("Not Functioning"))="Not Functioning"</formula>
    </cfRule>
    <cfRule type="containsText" dxfId="932" priority="1762" operator="containsText" text="Functioning">
      <formula>NOT(ISERROR(SEARCH("Functioning",J87)))</formula>
    </cfRule>
  </conditionalFormatting>
  <conditionalFormatting sqref="H87">
    <cfRule type="beginsWith" dxfId="931" priority="1763" stopIfTrue="1" operator="beginsWith" text="Functioning At Risk">
      <formula>LEFT(H87,LEN("Functioning At Risk"))="Functioning At Risk"</formula>
    </cfRule>
    <cfRule type="beginsWith" dxfId="930" priority="1764" stopIfTrue="1" operator="beginsWith" text="Not Functioning">
      <formula>LEFT(H87,LEN("Not Functioning"))="Not Functioning"</formula>
    </cfRule>
    <cfRule type="containsText" dxfId="929" priority="1765" operator="containsText" text="Functioning">
      <formula>NOT(ISERROR(SEARCH("Functioning",H87)))</formula>
    </cfRule>
  </conditionalFormatting>
  <conditionalFormatting sqref="I136:I137 I132 I119 I117 G113 G114:J114">
    <cfRule type="beginsWith" dxfId="928" priority="1757" stopIfTrue="1" operator="beginsWith" text="Functioning At Risk">
      <formula>LEFT(G113,LEN("Functioning At Risk"))="Functioning At Risk"</formula>
    </cfRule>
    <cfRule type="beginsWith" dxfId="927" priority="1758" stopIfTrue="1" operator="beginsWith" text="Not Functioning">
      <formula>LEFT(G113,LEN("Not Functioning"))="Not Functioning"</formula>
    </cfRule>
    <cfRule type="containsText" dxfId="926" priority="1759" operator="containsText" text="Functioning">
      <formula>NOT(ISERROR(SEARCH("Functioning",G113)))</formula>
    </cfRule>
  </conditionalFormatting>
  <conditionalFormatting sqref="H132 H119 H117">
    <cfRule type="beginsWith" dxfId="925" priority="1754" stopIfTrue="1" operator="beginsWith" text="Functioning At Risk">
      <formula>LEFT(H117,LEN("Functioning At Risk"))="Functioning At Risk"</formula>
    </cfRule>
    <cfRule type="beginsWith" dxfId="924" priority="1755" stopIfTrue="1" operator="beginsWith" text="Not Functioning">
      <formula>LEFT(H117,LEN("Not Functioning"))="Not Functioning"</formula>
    </cfRule>
    <cfRule type="containsText" dxfId="923" priority="1756" operator="containsText" text="Functioning">
      <formula>NOT(ISERROR(SEARCH("Functioning",H117)))</formula>
    </cfRule>
  </conditionalFormatting>
  <conditionalFormatting sqref="I115">
    <cfRule type="beginsWith" dxfId="922" priority="1751" stopIfTrue="1" operator="beginsWith" text="Functioning At Risk">
      <formula>LEFT(I115,LEN("Functioning At Risk"))="Functioning At Risk"</formula>
    </cfRule>
    <cfRule type="beginsWith" dxfId="921" priority="1752" stopIfTrue="1" operator="beginsWith" text="Not Functioning">
      <formula>LEFT(I115,LEN("Not Functioning"))="Not Functioning"</formula>
    </cfRule>
    <cfRule type="containsText" dxfId="920" priority="1753" operator="containsText" text="Functioning">
      <formula>NOT(ISERROR(SEARCH("Functioning",I115)))</formula>
    </cfRule>
  </conditionalFormatting>
  <conditionalFormatting sqref="J115">
    <cfRule type="beginsWith" dxfId="919" priority="1745" stopIfTrue="1" operator="beginsWith" text="Functioning At Risk">
      <formula>LEFT(J115,LEN("Functioning At Risk"))="Functioning At Risk"</formula>
    </cfRule>
    <cfRule type="beginsWith" dxfId="918" priority="1746" stopIfTrue="1" operator="beginsWith" text="Not Functioning">
      <formula>LEFT(J115,LEN("Not Functioning"))="Not Functioning"</formula>
    </cfRule>
    <cfRule type="containsText" dxfId="917" priority="1747" operator="containsText" text="Functioning">
      <formula>NOT(ISERROR(SEARCH("Functioning",J115)))</formula>
    </cfRule>
  </conditionalFormatting>
  <conditionalFormatting sqref="H115">
    <cfRule type="beginsWith" dxfId="916" priority="1748" stopIfTrue="1" operator="beginsWith" text="Functioning At Risk">
      <formula>LEFT(H115,LEN("Functioning At Risk"))="Functioning At Risk"</formula>
    </cfRule>
    <cfRule type="beginsWith" dxfId="915" priority="1749" stopIfTrue="1" operator="beginsWith" text="Not Functioning">
      <formula>LEFT(H115,LEN("Not Functioning"))="Not Functioning"</formula>
    </cfRule>
    <cfRule type="containsText" dxfId="914" priority="1750" operator="containsText" text="Functioning">
      <formula>NOT(ISERROR(SEARCH("Functioning",H115)))</formula>
    </cfRule>
  </conditionalFormatting>
  <conditionalFormatting sqref="I164:I165 I160 I147 I145 G141 G142:J142">
    <cfRule type="beginsWith" dxfId="913" priority="1742" stopIfTrue="1" operator="beginsWith" text="Functioning At Risk">
      <formula>LEFT(G141,LEN("Functioning At Risk"))="Functioning At Risk"</formula>
    </cfRule>
    <cfRule type="beginsWith" dxfId="912" priority="1743" stopIfTrue="1" operator="beginsWith" text="Not Functioning">
      <formula>LEFT(G141,LEN("Not Functioning"))="Not Functioning"</formula>
    </cfRule>
    <cfRule type="containsText" dxfId="911" priority="1744" operator="containsText" text="Functioning">
      <formula>NOT(ISERROR(SEARCH("Functioning",G141)))</formula>
    </cfRule>
  </conditionalFormatting>
  <conditionalFormatting sqref="H160 H147 H145">
    <cfRule type="beginsWith" dxfId="910" priority="1739" stopIfTrue="1" operator="beginsWith" text="Functioning At Risk">
      <formula>LEFT(H145,LEN("Functioning At Risk"))="Functioning At Risk"</formula>
    </cfRule>
    <cfRule type="beginsWith" dxfId="909" priority="1740" stopIfTrue="1" operator="beginsWith" text="Not Functioning">
      <formula>LEFT(H145,LEN("Not Functioning"))="Not Functioning"</formula>
    </cfRule>
    <cfRule type="containsText" dxfId="908" priority="1741" operator="containsText" text="Functioning">
      <formula>NOT(ISERROR(SEARCH("Functioning",H145)))</formula>
    </cfRule>
  </conditionalFormatting>
  <conditionalFormatting sqref="I143">
    <cfRule type="beginsWith" dxfId="907" priority="1736" stopIfTrue="1" operator="beginsWith" text="Functioning At Risk">
      <formula>LEFT(I143,LEN("Functioning At Risk"))="Functioning At Risk"</formula>
    </cfRule>
    <cfRule type="beginsWith" dxfId="906" priority="1737" stopIfTrue="1" operator="beginsWith" text="Not Functioning">
      <formula>LEFT(I143,LEN("Not Functioning"))="Not Functioning"</formula>
    </cfRule>
    <cfRule type="containsText" dxfId="905" priority="1738" operator="containsText" text="Functioning">
      <formula>NOT(ISERROR(SEARCH("Functioning",I143)))</formula>
    </cfRule>
  </conditionalFormatting>
  <conditionalFormatting sqref="J143">
    <cfRule type="beginsWith" dxfId="904" priority="1730" stopIfTrue="1" operator="beginsWith" text="Functioning At Risk">
      <formula>LEFT(J143,LEN("Functioning At Risk"))="Functioning At Risk"</formula>
    </cfRule>
    <cfRule type="beginsWith" dxfId="903" priority="1731" stopIfTrue="1" operator="beginsWith" text="Not Functioning">
      <formula>LEFT(J143,LEN("Not Functioning"))="Not Functioning"</formula>
    </cfRule>
    <cfRule type="containsText" dxfId="902" priority="1732" operator="containsText" text="Functioning">
      <formula>NOT(ISERROR(SEARCH("Functioning",J143)))</formula>
    </cfRule>
  </conditionalFormatting>
  <conditionalFormatting sqref="H143">
    <cfRule type="beginsWith" dxfId="901" priority="1733" stopIfTrue="1" operator="beginsWith" text="Functioning At Risk">
      <formula>LEFT(H143,LEN("Functioning At Risk"))="Functioning At Risk"</formula>
    </cfRule>
    <cfRule type="beginsWith" dxfId="900" priority="1734" stopIfTrue="1" operator="beginsWith" text="Not Functioning">
      <formula>LEFT(H143,LEN("Not Functioning"))="Not Functioning"</formula>
    </cfRule>
    <cfRule type="containsText" dxfId="899" priority="1735" operator="containsText" text="Functioning">
      <formula>NOT(ISERROR(SEARCH("Functioning",H143)))</formula>
    </cfRule>
  </conditionalFormatting>
  <conditionalFormatting sqref="I192:I193 I188 I175 I173 G169 G170:J170">
    <cfRule type="beginsWith" dxfId="898" priority="1727" stopIfTrue="1" operator="beginsWith" text="Functioning At Risk">
      <formula>LEFT(G169,LEN("Functioning At Risk"))="Functioning At Risk"</formula>
    </cfRule>
    <cfRule type="beginsWith" dxfId="897" priority="1728" stopIfTrue="1" operator="beginsWith" text="Not Functioning">
      <formula>LEFT(G169,LEN("Not Functioning"))="Not Functioning"</formula>
    </cfRule>
    <cfRule type="containsText" dxfId="896" priority="1729" operator="containsText" text="Functioning">
      <formula>NOT(ISERROR(SEARCH("Functioning",G169)))</formula>
    </cfRule>
  </conditionalFormatting>
  <conditionalFormatting sqref="H188 H175 H173">
    <cfRule type="beginsWith" dxfId="895" priority="1724" stopIfTrue="1" operator="beginsWith" text="Functioning At Risk">
      <formula>LEFT(H173,LEN("Functioning At Risk"))="Functioning At Risk"</formula>
    </cfRule>
    <cfRule type="beginsWith" dxfId="894" priority="1725" stopIfTrue="1" operator="beginsWith" text="Not Functioning">
      <formula>LEFT(H173,LEN("Not Functioning"))="Not Functioning"</formula>
    </cfRule>
    <cfRule type="containsText" dxfId="893" priority="1726" operator="containsText" text="Functioning">
      <formula>NOT(ISERROR(SEARCH("Functioning",H173)))</formula>
    </cfRule>
  </conditionalFormatting>
  <conditionalFormatting sqref="I171">
    <cfRule type="beginsWith" dxfId="892" priority="1721" stopIfTrue="1" operator="beginsWith" text="Functioning At Risk">
      <formula>LEFT(I171,LEN("Functioning At Risk"))="Functioning At Risk"</formula>
    </cfRule>
    <cfRule type="beginsWith" dxfId="891" priority="1722" stopIfTrue="1" operator="beginsWith" text="Not Functioning">
      <formula>LEFT(I171,LEN("Not Functioning"))="Not Functioning"</formula>
    </cfRule>
    <cfRule type="containsText" dxfId="890" priority="1723" operator="containsText" text="Functioning">
      <formula>NOT(ISERROR(SEARCH("Functioning",I171)))</formula>
    </cfRule>
  </conditionalFormatting>
  <conditionalFormatting sqref="J171">
    <cfRule type="beginsWith" dxfId="889" priority="1715" stopIfTrue="1" operator="beginsWith" text="Functioning At Risk">
      <formula>LEFT(J171,LEN("Functioning At Risk"))="Functioning At Risk"</formula>
    </cfRule>
    <cfRule type="beginsWith" dxfId="888" priority="1716" stopIfTrue="1" operator="beginsWith" text="Not Functioning">
      <formula>LEFT(J171,LEN("Not Functioning"))="Not Functioning"</formula>
    </cfRule>
    <cfRule type="containsText" dxfId="887" priority="1717" operator="containsText" text="Functioning">
      <formula>NOT(ISERROR(SEARCH("Functioning",J171)))</formula>
    </cfRule>
  </conditionalFormatting>
  <conditionalFormatting sqref="H171">
    <cfRule type="beginsWith" dxfId="886" priority="1718" stopIfTrue="1" operator="beginsWith" text="Functioning At Risk">
      <formula>LEFT(H171,LEN("Functioning At Risk"))="Functioning At Risk"</formula>
    </cfRule>
    <cfRule type="beginsWith" dxfId="885" priority="1719" stopIfTrue="1" operator="beginsWith" text="Not Functioning">
      <formula>LEFT(H171,LEN("Not Functioning"))="Not Functioning"</formula>
    </cfRule>
    <cfRule type="containsText" dxfId="884" priority="1720" operator="containsText" text="Functioning">
      <formula>NOT(ISERROR(SEARCH("Functioning",H171)))</formula>
    </cfRule>
  </conditionalFormatting>
  <conditionalFormatting sqref="I220:I221 I216 I203 I201 G197 G198:J198">
    <cfRule type="beginsWith" dxfId="883" priority="1712" stopIfTrue="1" operator="beginsWith" text="Functioning At Risk">
      <formula>LEFT(G197,LEN("Functioning At Risk"))="Functioning At Risk"</formula>
    </cfRule>
    <cfRule type="beginsWith" dxfId="882" priority="1713" stopIfTrue="1" operator="beginsWith" text="Not Functioning">
      <formula>LEFT(G197,LEN("Not Functioning"))="Not Functioning"</formula>
    </cfRule>
    <cfRule type="containsText" dxfId="881" priority="1714" operator="containsText" text="Functioning">
      <formula>NOT(ISERROR(SEARCH("Functioning",G197)))</formula>
    </cfRule>
  </conditionalFormatting>
  <conditionalFormatting sqref="H216 H203 H201">
    <cfRule type="beginsWith" dxfId="880" priority="1709" stopIfTrue="1" operator="beginsWith" text="Functioning At Risk">
      <formula>LEFT(H201,LEN("Functioning At Risk"))="Functioning At Risk"</formula>
    </cfRule>
    <cfRule type="beginsWith" dxfId="879" priority="1710" stopIfTrue="1" operator="beginsWith" text="Not Functioning">
      <formula>LEFT(H201,LEN("Not Functioning"))="Not Functioning"</formula>
    </cfRule>
    <cfRule type="containsText" dxfId="878" priority="1711" operator="containsText" text="Functioning">
      <formula>NOT(ISERROR(SEARCH("Functioning",H201)))</formula>
    </cfRule>
  </conditionalFormatting>
  <conditionalFormatting sqref="I199">
    <cfRule type="beginsWith" dxfId="877" priority="1706" stopIfTrue="1" operator="beginsWith" text="Functioning At Risk">
      <formula>LEFT(I199,LEN("Functioning At Risk"))="Functioning At Risk"</formula>
    </cfRule>
    <cfRule type="beginsWith" dxfId="876" priority="1707" stopIfTrue="1" operator="beginsWith" text="Not Functioning">
      <formula>LEFT(I199,LEN("Not Functioning"))="Not Functioning"</formula>
    </cfRule>
    <cfRule type="containsText" dxfId="875" priority="1708" operator="containsText" text="Functioning">
      <formula>NOT(ISERROR(SEARCH("Functioning",I199)))</formula>
    </cfRule>
  </conditionalFormatting>
  <conditionalFormatting sqref="J199">
    <cfRule type="beginsWith" dxfId="874" priority="1700" stopIfTrue="1" operator="beginsWith" text="Functioning At Risk">
      <formula>LEFT(J199,LEN("Functioning At Risk"))="Functioning At Risk"</formula>
    </cfRule>
    <cfRule type="beginsWith" dxfId="873" priority="1701" stopIfTrue="1" operator="beginsWith" text="Not Functioning">
      <formula>LEFT(J199,LEN("Not Functioning"))="Not Functioning"</formula>
    </cfRule>
    <cfRule type="containsText" dxfId="872" priority="1702" operator="containsText" text="Functioning">
      <formula>NOT(ISERROR(SEARCH("Functioning",J199)))</formula>
    </cfRule>
  </conditionalFormatting>
  <conditionalFormatting sqref="H199">
    <cfRule type="beginsWith" dxfId="871" priority="1703" stopIfTrue="1" operator="beginsWith" text="Functioning At Risk">
      <formula>LEFT(H199,LEN("Functioning At Risk"))="Functioning At Risk"</formula>
    </cfRule>
    <cfRule type="beginsWith" dxfId="870" priority="1704" stopIfTrue="1" operator="beginsWith" text="Not Functioning">
      <formula>LEFT(H199,LEN("Not Functioning"))="Not Functioning"</formula>
    </cfRule>
    <cfRule type="containsText" dxfId="869" priority="1705" operator="containsText" text="Functioning">
      <formula>NOT(ISERROR(SEARCH("Functioning",H199)))</formula>
    </cfRule>
  </conditionalFormatting>
  <conditionalFormatting sqref="I248:I249 I244 I231 I229 G225 G226:J226">
    <cfRule type="beginsWith" dxfId="868" priority="1697" stopIfTrue="1" operator="beginsWith" text="Functioning At Risk">
      <formula>LEFT(G225,LEN("Functioning At Risk"))="Functioning At Risk"</formula>
    </cfRule>
    <cfRule type="beginsWith" dxfId="867" priority="1698" stopIfTrue="1" operator="beginsWith" text="Not Functioning">
      <formula>LEFT(G225,LEN("Not Functioning"))="Not Functioning"</formula>
    </cfRule>
    <cfRule type="containsText" dxfId="866" priority="1699" operator="containsText" text="Functioning">
      <formula>NOT(ISERROR(SEARCH("Functioning",G225)))</formula>
    </cfRule>
  </conditionalFormatting>
  <conditionalFormatting sqref="H244 H231 H229">
    <cfRule type="beginsWith" dxfId="865" priority="1694" stopIfTrue="1" operator="beginsWith" text="Functioning At Risk">
      <formula>LEFT(H229,LEN("Functioning At Risk"))="Functioning At Risk"</formula>
    </cfRule>
    <cfRule type="beginsWith" dxfId="864" priority="1695" stopIfTrue="1" operator="beginsWith" text="Not Functioning">
      <formula>LEFT(H229,LEN("Not Functioning"))="Not Functioning"</formula>
    </cfRule>
    <cfRule type="containsText" dxfId="863" priority="1696" operator="containsText" text="Functioning">
      <formula>NOT(ISERROR(SEARCH("Functioning",H229)))</formula>
    </cfRule>
  </conditionalFormatting>
  <conditionalFormatting sqref="I227">
    <cfRule type="beginsWith" dxfId="862" priority="1691" stopIfTrue="1" operator="beginsWith" text="Functioning At Risk">
      <formula>LEFT(I227,LEN("Functioning At Risk"))="Functioning At Risk"</formula>
    </cfRule>
    <cfRule type="beginsWith" dxfId="861" priority="1692" stopIfTrue="1" operator="beginsWith" text="Not Functioning">
      <formula>LEFT(I227,LEN("Not Functioning"))="Not Functioning"</formula>
    </cfRule>
    <cfRule type="containsText" dxfId="860" priority="1693" operator="containsText" text="Functioning">
      <formula>NOT(ISERROR(SEARCH("Functioning",I227)))</formula>
    </cfRule>
  </conditionalFormatting>
  <conditionalFormatting sqref="J227">
    <cfRule type="beginsWith" dxfId="859" priority="1685" stopIfTrue="1" operator="beginsWith" text="Functioning At Risk">
      <formula>LEFT(J227,LEN("Functioning At Risk"))="Functioning At Risk"</formula>
    </cfRule>
    <cfRule type="beginsWith" dxfId="858" priority="1686" stopIfTrue="1" operator="beginsWith" text="Not Functioning">
      <formula>LEFT(J227,LEN("Not Functioning"))="Not Functioning"</formula>
    </cfRule>
    <cfRule type="containsText" dxfId="857" priority="1687" operator="containsText" text="Functioning">
      <formula>NOT(ISERROR(SEARCH("Functioning",J227)))</formula>
    </cfRule>
  </conditionalFormatting>
  <conditionalFormatting sqref="H227">
    <cfRule type="beginsWith" dxfId="856" priority="1688" stopIfTrue="1" operator="beginsWith" text="Functioning At Risk">
      <formula>LEFT(H227,LEN("Functioning At Risk"))="Functioning At Risk"</formula>
    </cfRule>
    <cfRule type="beginsWith" dxfId="855" priority="1689" stopIfTrue="1" operator="beginsWith" text="Not Functioning">
      <formula>LEFT(H227,LEN("Not Functioning"))="Not Functioning"</formula>
    </cfRule>
    <cfRule type="containsText" dxfId="854" priority="1690" operator="containsText" text="Functioning">
      <formula>NOT(ISERROR(SEARCH("Functioning",H227)))</formula>
    </cfRule>
  </conditionalFormatting>
  <conditionalFormatting sqref="I276:I277 I272 I259 I257 G253 G254:J254">
    <cfRule type="beginsWith" dxfId="853" priority="1682" stopIfTrue="1" operator="beginsWith" text="Functioning At Risk">
      <formula>LEFT(G253,LEN("Functioning At Risk"))="Functioning At Risk"</formula>
    </cfRule>
    <cfRule type="beginsWith" dxfId="852" priority="1683" stopIfTrue="1" operator="beginsWith" text="Not Functioning">
      <formula>LEFT(G253,LEN("Not Functioning"))="Not Functioning"</formula>
    </cfRule>
    <cfRule type="containsText" dxfId="851" priority="1684" operator="containsText" text="Functioning">
      <formula>NOT(ISERROR(SEARCH("Functioning",G253)))</formula>
    </cfRule>
  </conditionalFormatting>
  <conditionalFormatting sqref="H272 H259 H257">
    <cfRule type="beginsWith" dxfId="850" priority="1679" stopIfTrue="1" operator="beginsWith" text="Functioning At Risk">
      <formula>LEFT(H257,LEN("Functioning At Risk"))="Functioning At Risk"</formula>
    </cfRule>
    <cfRule type="beginsWith" dxfId="849" priority="1680" stopIfTrue="1" operator="beginsWith" text="Not Functioning">
      <formula>LEFT(H257,LEN("Not Functioning"))="Not Functioning"</formula>
    </cfRule>
    <cfRule type="containsText" dxfId="848" priority="1681" operator="containsText" text="Functioning">
      <formula>NOT(ISERROR(SEARCH("Functioning",H257)))</formula>
    </cfRule>
  </conditionalFormatting>
  <conditionalFormatting sqref="I255">
    <cfRule type="beginsWith" dxfId="847" priority="1676" stopIfTrue="1" operator="beginsWith" text="Functioning At Risk">
      <formula>LEFT(I255,LEN("Functioning At Risk"))="Functioning At Risk"</formula>
    </cfRule>
    <cfRule type="beginsWith" dxfId="846" priority="1677" stopIfTrue="1" operator="beginsWith" text="Not Functioning">
      <formula>LEFT(I255,LEN("Not Functioning"))="Not Functioning"</formula>
    </cfRule>
    <cfRule type="containsText" dxfId="845" priority="1678" operator="containsText" text="Functioning">
      <formula>NOT(ISERROR(SEARCH("Functioning",I255)))</formula>
    </cfRule>
  </conditionalFormatting>
  <conditionalFormatting sqref="J255">
    <cfRule type="beginsWith" dxfId="844" priority="1670" stopIfTrue="1" operator="beginsWith" text="Functioning At Risk">
      <formula>LEFT(J255,LEN("Functioning At Risk"))="Functioning At Risk"</formula>
    </cfRule>
    <cfRule type="beginsWith" dxfId="843" priority="1671" stopIfTrue="1" operator="beginsWith" text="Not Functioning">
      <formula>LEFT(J255,LEN("Not Functioning"))="Not Functioning"</formula>
    </cfRule>
    <cfRule type="containsText" dxfId="842" priority="1672" operator="containsText" text="Functioning">
      <formula>NOT(ISERROR(SEARCH("Functioning",J255)))</formula>
    </cfRule>
  </conditionalFormatting>
  <conditionalFormatting sqref="H255">
    <cfRule type="beginsWith" dxfId="841" priority="1673" stopIfTrue="1" operator="beginsWith" text="Functioning At Risk">
      <formula>LEFT(H255,LEN("Functioning At Risk"))="Functioning At Risk"</formula>
    </cfRule>
    <cfRule type="beginsWith" dxfId="840" priority="1674" stopIfTrue="1" operator="beginsWith" text="Not Functioning">
      <formula>LEFT(H255,LEN("Not Functioning"))="Not Functioning"</formula>
    </cfRule>
    <cfRule type="containsText" dxfId="839" priority="1675" operator="containsText" text="Functioning">
      <formula>NOT(ISERROR(SEARCH("Functioning",H255)))</formula>
    </cfRule>
  </conditionalFormatting>
  <conditionalFormatting sqref="I304:I305 I300 I287 I285 G281 G282:J282">
    <cfRule type="beginsWith" dxfId="838" priority="1667" stopIfTrue="1" operator="beginsWith" text="Functioning At Risk">
      <formula>LEFT(G281,LEN("Functioning At Risk"))="Functioning At Risk"</formula>
    </cfRule>
    <cfRule type="beginsWith" dxfId="837" priority="1668" stopIfTrue="1" operator="beginsWith" text="Not Functioning">
      <formula>LEFT(G281,LEN("Not Functioning"))="Not Functioning"</formula>
    </cfRule>
    <cfRule type="containsText" dxfId="836" priority="1669" operator="containsText" text="Functioning">
      <formula>NOT(ISERROR(SEARCH("Functioning",G281)))</formula>
    </cfRule>
  </conditionalFormatting>
  <conditionalFormatting sqref="H300 H287 H285">
    <cfRule type="beginsWith" dxfId="835" priority="1664" stopIfTrue="1" operator="beginsWith" text="Functioning At Risk">
      <formula>LEFT(H285,LEN("Functioning At Risk"))="Functioning At Risk"</formula>
    </cfRule>
    <cfRule type="beginsWith" dxfId="834" priority="1665" stopIfTrue="1" operator="beginsWith" text="Not Functioning">
      <formula>LEFT(H285,LEN("Not Functioning"))="Not Functioning"</formula>
    </cfRule>
    <cfRule type="containsText" dxfId="833" priority="1666" operator="containsText" text="Functioning">
      <formula>NOT(ISERROR(SEARCH("Functioning",H285)))</formula>
    </cfRule>
  </conditionalFormatting>
  <conditionalFormatting sqref="I283">
    <cfRule type="beginsWith" dxfId="832" priority="1661" stopIfTrue="1" operator="beginsWith" text="Functioning At Risk">
      <formula>LEFT(I283,LEN("Functioning At Risk"))="Functioning At Risk"</formula>
    </cfRule>
    <cfRule type="beginsWith" dxfId="831" priority="1662" stopIfTrue="1" operator="beginsWith" text="Not Functioning">
      <formula>LEFT(I283,LEN("Not Functioning"))="Not Functioning"</formula>
    </cfRule>
    <cfRule type="containsText" dxfId="830" priority="1663" operator="containsText" text="Functioning">
      <formula>NOT(ISERROR(SEARCH("Functioning",I283)))</formula>
    </cfRule>
  </conditionalFormatting>
  <conditionalFormatting sqref="J283">
    <cfRule type="beginsWith" dxfId="829" priority="1655" stopIfTrue="1" operator="beginsWith" text="Functioning At Risk">
      <formula>LEFT(J283,LEN("Functioning At Risk"))="Functioning At Risk"</formula>
    </cfRule>
    <cfRule type="beginsWith" dxfId="828" priority="1656" stopIfTrue="1" operator="beginsWith" text="Not Functioning">
      <formula>LEFT(J283,LEN("Not Functioning"))="Not Functioning"</formula>
    </cfRule>
    <cfRule type="containsText" dxfId="827" priority="1657" operator="containsText" text="Functioning">
      <formula>NOT(ISERROR(SEARCH("Functioning",J283)))</formula>
    </cfRule>
  </conditionalFormatting>
  <conditionalFormatting sqref="H283">
    <cfRule type="beginsWith" dxfId="826" priority="1658" stopIfTrue="1" operator="beginsWith" text="Functioning At Risk">
      <formula>LEFT(H283,LEN("Functioning At Risk"))="Functioning At Risk"</formula>
    </cfRule>
    <cfRule type="beginsWith" dxfId="825" priority="1659" stopIfTrue="1" operator="beginsWith" text="Not Functioning">
      <formula>LEFT(H283,LEN("Not Functioning"))="Not Functioning"</formula>
    </cfRule>
    <cfRule type="containsText" dxfId="824" priority="1660" operator="containsText" text="Functioning">
      <formula>NOT(ISERROR(SEARCH("Functioning",H283)))</formula>
    </cfRule>
  </conditionalFormatting>
  <conditionalFormatting sqref="E86">
    <cfRule type="beginsWith" dxfId="823" priority="1577" stopIfTrue="1" operator="beginsWith" text="Functioning At Risk">
      <formula>LEFT(E86,LEN("Functioning At Risk"))="Functioning At Risk"</formula>
    </cfRule>
    <cfRule type="beginsWith" dxfId="822" priority="1578" stopIfTrue="1" operator="beginsWith" text="Not Functioning">
      <formula>LEFT(E86,LEN("Not Functioning"))="Not Functioning"</formula>
    </cfRule>
    <cfRule type="containsText" dxfId="821" priority="1579" operator="containsText" text="Functioning">
      <formula>NOT(ISERROR(SEARCH("Functioning",E86)))</formula>
    </cfRule>
  </conditionalFormatting>
  <conditionalFormatting sqref="E114">
    <cfRule type="beginsWith" dxfId="820" priority="1546" stopIfTrue="1" operator="beginsWith" text="Functioning At Risk">
      <formula>LEFT(E114,LEN("Functioning At Risk"))="Functioning At Risk"</formula>
    </cfRule>
    <cfRule type="beginsWith" dxfId="819" priority="1547" stopIfTrue="1" operator="beginsWith" text="Not Functioning">
      <formula>LEFT(E114,LEN("Not Functioning"))="Not Functioning"</formula>
    </cfRule>
    <cfRule type="containsText" dxfId="818" priority="1548" operator="containsText" text="Functioning">
      <formula>NOT(ISERROR(SEARCH("Functioning",E114)))</formula>
    </cfRule>
  </conditionalFormatting>
  <conditionalFormatting sqref="E142">
    <cfRule type="beginsWith" dxfId="817" priority="1515" stopIfTrue="1" operator="beginsWith" text="Functioning At Risk">
      <formula>LEFT(E142,LEN("Functioning At Risk"))="Functioning At Risk"</formula>
    </cfRule>
    <cfRule type="beginsWith" dxfId="816" priority="1516" stopIfTrue="1" operator="beginsWith" text="Not Functioning">
      <formula>LEFT(E142,LEN("Not Functioning"))="Not Functioning"</formula>
    </cfRule>
    <cfRule type="containsText" dxfId="815" priority="1517" operator="containsText" text="Functioning">
      <formula>NOT(ISERROR(SEARCH("Functioning",E142)))</formula>
    </cfRule>
  </conditionalFormatting>
  <conditionalFormatting sqref="E170">
    <cfRule type="beginsWith" dxfId="814" priority="1484" stopIfTrue="1" operator="beginsWith" text="Functioning At Risk">
      <formula>LEFT(E170,LEN("Functioning At Risk"))="Functioning At Risk"</formula>
    </cfRule>
    <cfRule type="beginsWith" dxfId="813" priority="1485" stopIfTrue="1" operator="beginsWith" text="Not Functioning">
      <formula>LEFT(E170,LEN("Not Functioning"))="Not Functioning"</formula>
    </cfRule>
    <cfRule type="containsText" dxfId="812" priority="1486" operator="containsText" text="Functioning">
      <formula>NOT(ISERROR(SEARCH("Functioning",E170)))</formula>
    </cfRule>
  </conditionalFormatting>
  <conditionalFormatting sqref="E198">
    <cfRule type="beginsWith" dxfId="811" priority="1453" stopIfTrue="1" operator="beginsWith" text="Functioning At Risk">
      <formula>LEFT(E198,LEN("Functioning At Risk"))="Functioning At Risk"</formula>
    </cfRule>
    <cfRule type="beginsWith" dxfId="810" priority="1454" stopIfTrue="1" operator="beginsWith" text="Not Functioning">
      <formula>LEFT(E198,LEN("Not Functioning"))="Not Functioning"</formula>
    </cfRule>
    <cfRule type="containsText" dxfId="809" priority="1455" operator="containsText" text="Functioning">
      <formula>NOT(ISERROR(SEARCH("Functioning",E198)))</formula>
    </cfRule>
  </conditionalFormatting>
  <conditionalFormatting sqref="E226">
    <cfRule type="beginsWith" dxfId="808" priority="1422" stopIfTrue="1" operator="beginsWith" text="Functioning At Risk">
      <formula>LEFT(E226,LEN("Functioning At Risk"))="Functioning At Risk"</formula>
    </cfRule>
    <cfRule type="beginsWith" dxfId="807" priority="1423" stopIfTrue="1" operator="beginsWith" text="Not Functioning">
      <formula>LEFT(E226,LEN("Not Functioning"))="Not Functioning"</formula>
    </cfRule>
    <cfRule type="containsText" dxfId="806" priority="1424" operator="containsText" text="Functioning">
      <formula>NOT(ISERROR(SEARCH("Functioning",E226)))</formula>
    </cfRule>
  </conditionalFormatting>
  <conditionalFormatting sqref="E254">
    <cfRule type="beginsWith" dxfId="805" priority="1391" stopIfTrue="1" operator="beginsWith" text="Functioning At Risk">
      <formula>LEFT(E254,LEN("Functioning At Risk"))="Functioning At Risk"</formula>
    </cfRule>
    <cfRule type="beginsWith" dxfId="804" priority="1392" stopIfTrue="1" operator="beginsWith" text="Not Functioning">
      <formula>LEFT(E254,LEN("Not Functioning"))="Not Functioning"</formula>
    </cfRule>
    <cfRule type="containsText" dxfId="803" priority="1393" operator="containsText" text="Functioning">
      <formula>NOT(ISERROR(SEARCH("Functioning",E254)))</formula>
    </cfRule>
  </conditionalFormatting>
  <conditionalFormatting sqref="E282">
    <cfRule type="beginsWith" dxfId="802" priority="1360" stopIfTrue="1" operator="beginsWith" text="Functioning At Risk">
      <formula>LEFT(E282,LEN("Functioning At Risk"))="Functioning At Risk"</formula>
    </cfRule>
    <cfRule type="beginsWith" dxfId="801" priority="1361" stopIfTrue="1" operator="beginsWith" text="Not Functioning">
      <formula>LEFT(E282,LEN("Not Functioning"))="Not Functioning"</formula>
    </cfRule>
    <cfRule type="containsText" dxfId="800" priority="1362" operator="containsText" text="Functioning">
      <formula>NOT(ISERROR(SEARCH("Functioning",E282)))</formula>
    </cfRule>
  </conditionalFormatting>
  <conditionalFormatting sqref="A30:C30 E30:J30">
    <cfRule type="beginsWith" dxfId="799" priority="1312" stopIfTrue="1" operator="beginsWith" text="Functioning At Risk">
      <formula>LEFT(A30,LEN("Functioning At Risk"))="Functioning At Risk"</formula>
    </cfRule>
    <cfRule type="beginsWith" dxfId="798" priority="1313" stopIfTrue="1" operator="beginsWith" text="Not Functioning">
      <formula>LEFT(A30,LEN("Not Functioning"))="Not Functioning"</formula>
    </cfRule>
    <cfRule type="containsText" dxfId="797" priority="1314" operator="containsText" text="Functioning">
      <formula>NOT(ISERROR(SEARCH("Functioning",A30)))</formula>
    </cfRule>
  </conditionalFormatting>
  <conditionalFormatting sqref="A58:B58 E58:J58">
    <cfRule type="beginsWith" dxfId="796" priority="1309" stopIfTrue="1" operator="beginsWith" text="Functioning At Risk">
      <formula>LEFT(A58,LEN("Functioning At Risk"))="Functioning At Risk"</formula>
    </cfRule>
    <cfRule type="beginsWith" dxfId="795" priority="1310" stopIfTrue="1" operator="beginsWith" text="Not Functioning">
      <formula>LEFT(A58,LEN("Not Functioning"))="Not Functioning"</formula>
    </cfRule>
    <cfRule type="containsText" dxfId="794" priority="1311" operator="containsText" text="Functioning">
      <formula>NOT(ISERROR(SEARCH("Functioning",A58)))</formula>
    </cfRule>
  </conditionalFormatting>
  <conditionalFormatting sqref="F17 F26 F5:F6">
    <cfRule type="beginsWith" dxfId="793" priority="1306" stopIfTrue="1" operator="beginsWith" text="Functioning At Risk">
      <formula>LEFT(F5,LEN("Functioning At Risk"))="Functioning At Risk"</formula>
    </cfRule>
    <cfRule type="beginsWith" dxfId="792" priority="1307" stopIfTrue="1" operator="beginsWith" text="Not Functioning">
      <formula>LEFT(F5,LEN("Not Functioning"))="Not Functioning"</formula>
    </cfRule>
    <cfRule type="containsText" dxfId="791" priority="1308" operator="containsText" text="Functioning">
      <formula>NOT(ISERROR(SEARCH("Functioning",F5)))</formula>
    </cfRule>
  </conditionalFormatting>
  <conditionalFormatting sqref="F24:F25">
    <cfRule type="beginsWith" dxfId="790" priority="1303" stopIfTrue="1" operator="beginsWith" text="Functioning At Risk">
      <formula>LEFT(F24,LEN("Functioning At Risk"))="Functioning At Risk"</formula>
    </cfRule>
    <cfRule type="beginsWith" dxfId="789" priority="1304" stopIfTrue="1" operator="beginsWith" text="Not Functioning">
      <formula>LEFT(F24,LEN("Not Functioning"))="Not Functioning"</formula>
    </cfRule>
    <cfRule type="containsText" dxfId="788" priority="1305" operator="containsText" text="Functioning">
      <formula>NOT(ISERROR(SEARCH("Functioning",F24)))</formula>
    </cfRule>
  </conditionalFormatting>
  <conditionalFormatting sqref="F7">
    <cfRule type="beginsWith" dxfId="787" priority="1300" stopIfTrue="1" operator="beginsWith" text="Functioning At Risk">
      <formula>LEFT(F7,LEN("Functioning At Risk"))="Functioning At Risk"</formula>
    </cfRule>
    <cfRule type="beginsWith" dxfId="786" priority="1301" stopIfTrue="1" operator="beginsWith" text="Not Functioning">
      <formula>LEFT(F7,LEN("Not Functioning"))="Not Functioning"</formula>
    </cfRule>
    <cfRule type="containsText" dxfId="785" priority="1302" operator="containsText" text="Functioning">
      <formula>NOT(ISERROR(SEARCH("Functioning",F7)))</formula>
    </cfRule>
  </conditionalFormatting>
  <conditionalFormatting sqref="E16:E20">
    <cfRule type="beginsWith" dxfId="784" priority="1297" stopIfTrue="1" operator="beginsWith" text="Functioning At Risk">
      <formula>LEFT(E16,LEN("Functioning At Risk"))="Functioning At Risk"</formula>
    </cfRule>
    <cfRule type="beginsWith" dxfId="783" priority="1298" stopIfTrue="1" operator="beginsWith" text="Not Functioning">
      <formula>LEFT(E16,LEN("Not Functioning"))="Not Functioning"</formula>
    </cfRule>
    <cfRule type="containsText" dxfId="782" priority="1299" operator="containsText" text="Functioning">
      <formula>NOT(ISERROR(SEARCH("Functioning",E16)))</formula>
    </cfRule>
  </conditionalFormatting>
  <conditionalFormatting sqref="E5:E6 E11:E13">
    <cfRule type="beginsWith" dxfId="781" priority="1294" stopIfTrue="1" operator="beginsWith" text="Functioning At Risk">
      <formula>LEFT(E5,LEN("Functioning At Risk"))="Functioning At Risk"</formula>
    </cfRule>
    <cfRule type="beginsWith" dxfId="780" priority="1295" stopIfTrue="1" operator="beginsWith" text="Not Functioning">
      <formula>LEFT(E5,LEN("Not Functioning"))="Not Functioning"</formula>
    </cfRule>
    <cfRule type="containsText" dxfId="779" priority="1296" operator="containsText" text="Functioning">
      <formula>NOT(ISERROR(SEARCH("Functioning",E5)))</formula>
    </cfRule>
  </conditionalFormatting>
  <conditionalFormatting sqref="E26">
    <cfRule type="beginsWith" dxfId="778" priority="1291" stopIfTrue="1" operator="beginsWith" text="Functioning At Risk">
      <formula>LEFT(E26,LEN("Functioning At Risk"))="Functioning At Risk"</formula>
    </cfRule>
    <cfRule type="beginsWith" dxfId="777" priority="1292" stopIfTrue="1" operator="beginsWith" text="Not Functioning">
      <formula>LEFT(E26,LEN("Not Functioning"))="Not Functioning"</formula>
    </cfRule>
    <cfRule type="containsText" dxfId="776" priority="1293" operator="containsText" text="Functioning">
      <formula>NOT(ISERROR(SEARCH("Functioning",E26)))</formula>
    </cfRule>
  </conditionalFormatting>
  <conditionalFormatting sqref="E20">
    <cfRule type="expression" dxfId="775" priority="1286">
      <formula>B1048463="Level 4 - Physicochemical"</formula>
    </cfRule>
    <cfRule type="expression" dxfId="774" priority="1290">
      <formula>B1048463="Level 5 - Biology"</formula>
    </cfRule>
  </conditionalFormatting>
  <conditionalFormatting sqref="E22">
    <cfRule type="expression" dxfId="773" priority="1285">
      <formula>B1048463="Level 4 - Physicochemical"</formula>
    </cfRule>
    <cfRule type="expression" dxfId="772" priority="1289">
      <formula>B1048463="Level 5 - Biology"</formula>
    </cfRule>
  </conditionalFormatting>
  <conditionalFormatting sqref="E23">
    <cfRule type="expression" dxfId="771" priority="1284">
      <formula>B1048463="Level 4 - Physicochemical"</formula>
    </cfRule>
    <cfRule type="expression" dxfId="770" priority="1288">
      <formula>B1048463="Level 5 - Biology"</formula>
    </cfRule>
  </conditionalFormatting>
  <conditionalFormatting sqref="E26">
    <cfRule type="expression" dxfId="769" priority="1287">
      <formula>B1048463="Level 5 - Biology"</formula>
    </cfRule>
  </conditionalFormatting>
  <conditionalFormatting sqref="E21">
    <cfRule type="expression" dxfId="768" priority="1279">
      <formula>B1048463="Level 5 - Biology"</formula>
    </cfRule>
    <cfRule type="expression" dxfId="767" priority="1280">
      <formula>B1048463="Level 4 - Physicochemical"</formula>
    </cfRule>
    <cfRule type="beginsWith" dxfId="766" priority="1281" stopIfTrue="1" operator="beginsWith" text="Functioning At Risk">
      <formula>LEFT(E21,LEN("Functioning At Risk"))="Functioning At Risk"</formula>
    </cfRule>
    <cfRule type="beginsWith" dxfId="765" priority="1282" stopIfTrue="1" operator="beginsWith" text="Not Functioning">
      <formula>LEFT(E21,LEN("Not Functioning"))="Not Functioning"</formula>
    </cfRule>
    <cfRule type="containsText" dxfId="764" priority="1283" operator="containsText" text="Functioning">
      <formula>NOT(ISERROR(SEARCH("Functioning",E21)))</formula>
    </cfRule>
  </conditionalFormatting>
  <conditionalFormatting sqref="E15">
    <cfRule type="beginsWith" dxfId="763" priority="1276" stopIfTrue="1" operator="beginsWith" text="Functioning At Risk">
      <formula>LEFT(E15,LEN("Functioning At Risk"))="Functioning At Risk"</formula>
    </cfRule>
    <cfRule type="beginsWith" dxfId="762" priority="1277" stopIfTrue="1" operator="beginsWith" text="Not Functioning">
      <formula>LEFT(E15,LEN("Not Functioning"))="Not Functioning"</formula>
    </cfRule>
    <cfRule type="containsText" dxfId="761" priority="1278" operator="containsText" text="Functioning">
      <formula>NOT(ISERROR(SEARCH("Functioning",E15)))</formula>
    </cfRule>
  </conditionalFormatting>
  <conditionalFormatting sqref="E24:E25">
    <cfRule type="beginsWith" dxfId="760" priority="1273" stopIfTrue="1" operator="beginsWith" text="Functioning At Risk">
      <formula>LEFT(E24,LEN("Functioning At Risk"))="Functioning At Risk"</formula>
    </cfRule>
    <cfRule type="beginsWith" dxfId="759" priority="1274" stopIfTrue="1" operator="beginsWith" text="Not Functioning">
      <formula>LEFT(E24,LEN("Not Functioning"))="Not Functioning"</formula>
    </cfRule>
    <cfRule type="containsText" dxfId="758" priority="1275" operator="containsText" text="Functioning">
      <formula>NOT(ISERROR(SEARCH("Functioning",E24)))</formula>
    </cfRule>
  </conditionalFormatting>
  <conditionalFormatting sqref="E24:E25">
    <cfRule type="expression" dxfId="757" priority="1272">
      <formula>B1048464="Level 5 - Biology"</formula>
    </cfRule>
  </conditionalFormatting>
  <conditionalFormatting sqref="E7">
    <cfRule type="beginsWith" dxfId="756" priority="1269" stopIfTrue="1" operator="beginsWith" text="Functioning At Risk">
      <formula>LEFT(E7,LEN("Functioning At Risk"))="Functioning At Risk"</formula>
    </cfRule>
    <cfRule type="beginsWith" dxfId="755" priority="1270" stopIfTrue="1" operator="beginsWith" text="Not Functioning">
      <formula>LEFT(E7,LEN("Not Functioning"))="Not Functioning"</formula>
    </cfRule>
    <cfRule type="containsText" dxfId="754" priority="1271" operator="containsText" text="Functioning">
      <formula>NOT(ISERROR(SEARCH("Functioning",E7)))</formula>
    </cfRule>
  </conditionalFormatting>
  <conditionalFormatting sqref="E10">
    <cfRule type="beginsWith" dxfId="753" priority="1263" stopIfTrue="1" operator="beginsWith" text="Functioning At Risk">
      <formula>LEFT(E10,LEN("Functioning At Risk"))="Functioning At Risk"</formula>
    </cfRule>
    <cfRule type="beginsWith" dxfId="752" priority="1264" stopIfTrue="1" operator="beginsWith" text="Not Functioning">
      <formula>LEFT(E10,LEN("Not Functioning"))="Not Functioning"</formula>
    </cfRule>
    <cfRule type="containsText" dxfId="751" priority="1265" operator="containsText" text="Functioning">
      <formula>NOT(ISERROR(SEARCH("Functioning",E10)))</formula>
    </cfRule>
  </conditionalFormatting>
  <conditionalFormatting sqref="E8">
    <cfRule type="beginsWith" dxfId="750" priority="1260" stopIfTrue="1" operator="beginsWith" text="Functioning At Risk">
      <formula>LEFT(E8,LEN("Functioning At Risk"))="Functioning At Risk"</formula>
    </cfRule>
    <cfRule type="beginsWith" dxfId="749" priority="1261" stopIfTrue="1" operator="beginsWith" text="Not Functioning">
      <formula>LEFT(E8,LEN("Not Functioning"))="Not Functioning"</formula>
    </cfRule>
    <cfRule type="containsText" dxfId="748" priority="1262" operator="containsText" text="Functioning">
      <formula>NOT(ISERROR(SEARCH("Functioning",E8)))</formula>
    </cfRule>
  </conditionalFormatting>
  <conditionalFormatting sqref="E9">
    <cfRule type="beginsWith" dxfId="747" priority="1266" stopIfTrue="1" operator="beginsWith" text="Functioning At Risk">
      <formula>LEFT(E9,LEN("Functioning At Risk"))="Functioning At Risk"</formula>
    </cfRule>
    <cfRule type="beginsWith" dxfId="746" priority="1267" stopIfTrue="1" operator="beginsWith" text="Not Functioning">
      <formula>LEFT(E9,LEN("Not Functioning"))="Not Functioning"</formula>
    </cfRule>
    <cfRule type="containsText" dxfId="745" priority="1268" operator="containsText" text="Functioning">
      <formula>NOT(ISERROR(SEARCH("Functioning",E9)))</formula>
    </cfRule>
  </conditionalFormatting>
  <conditionalFormatting sqref="F45 F54 F33:F34">
    <cfRule type="beginsWith" dxfId="744" priority="677" stopIfTrue="1" operator="beginsWith" text="Functioning At Risk">
      <formula>LEFT(F33,LEN("Functioning At Risk"))="Functioning At Risk"</formula>
    </cfRule>
    <cfRule type="beginsWith" dxfId="743" priority="678" stopIfTrue="1" operator="beginsWith" text="Not Functioning">
      <formula>LEFT(F33,LEN("Not Functioning"))="Not Functioning"</formula>
    </cfRule>
    <cfRule type="containsText" dxfId="742" priority="679" operator="containsText" text="Functioning">
      <formula>NOT(ISERROR(SEARCH("Functioning",F33)))</formula>
    </cfRule>
  </conditionalFormatting>
  <conditionalFormatting sqref="F52:F53">
    <cfRule type="beginsWith" dxfId="741" priority="674" stopIfTrue="1" operator="beginsWith" text="Functioning At Risk">
      <formula>LEFT(F52,LEN("Functioning At Risk"))="Functioning At Risk"</formula>
    </cfRule>
    <cfRule type="beginsWith" dxfId="740" priority="675" stopIfTrue="1" operator="beginsWith" text="Not Functioning">
      <formula>LEFT(F52,LEN("Not Functioning"))="Not Functioning"</formula>
    </cfRule>
    <cfRule type="containsText" dxfId="739" priority="676" operator="containsText" text="Functioning">
      <formula>NOT(ISERROR(SEARCH("Functioning",F52)))</formula>
    </cfRule>
  </conditionalFormatting>
  <conditionalFormatting sqref="F35">
    <cfRule type="beginsWith" dxfId="738" priority="671" stopIfTrue="1" operator="beginsWith" text="Functioning At Risk">
      <formula>LEFT(F35,LEN("Functioning At Risk"))="Functioning At Risk"</formula>
    </cfRule>
    <cfRule type="beginsWith" dxfId="737" priority="672" stopIfTrue="1" operator="beginsWith" text="Not Functioning">
      <formula>LEFT(F35,LEN("Not Functioning"))="Not Functioning"</formula>
    </cfRule>
    <cfRule type="containsText" dxfId="736" priority="673" operator="containsText" text="Functioning">
      <formula>NOT(ISERROR(SEARCH("Functioning",F35)))</formula>
    </cfRule>
  </conditionalFormatting>
  <conditionalFormatting sqref="E45:E48">
    <cfRule type="beginsWith" dxfId="735" priority="668" stopIfTrue="1" operator="beginsWith" text="Functioning At Risk">
      <formula>LEFT(E45,LEN("Functioning At Risk"))="Functioning At Risk"</formula>
    </cfRule>
    <cfRule type="beginsWith" dxfId="734" priority="669" stopIfTrue="1" operator="beginsWith" text="Not Functioning">
      <formula>LEFT(E45,LEN("Not Functioning"))="Not Functioning"</formula>
    </cfRule>
    <cfRule type="containsText" dxfId="733" priority="670" operator="containsText" text="Functioning">
      <formula>NOT(ISERROR(SEARCH("Functioning",E45)))</formula>
    </cfRule>
  </conditionalFormatting>
  <conditionalFormatting sqref="E33:E34 E39:E41">
    <cfRule type="beginsWith" dxfId="732" priority="665" stopIfTrue="1" operator="beginsWith" text="Functioning At Risk">
      <formula>LEFT(E33,LEN("Functioning At Risk"))="Functioning At Risk"</formula>
    </cfRule>
    <cfRule type="beginsWith" dxfId="731" priority="666" stopIfTrue="1" operator="beginsWith" text="Not Functioning">
      <formula>LEFT(E33,LEN("Not Functioning"))="Not Functioning"</formula>
    </cfRule>
    <cfRule type="containsText" dxfId="730" priority="667" operator="containsText" text="Functioning">
      <formula>NOT(ISERROR(SEARCH("Functioning",E33)))</formula>
    </cfRule>
  </conditionalFormatting>
  <conditionalFormatting sqref="E54">
    <cfRule type="beginsWith" dxfId="729" priority="662" stopIfTrue="1" operator="beginsWith" text="Functioning At Risk">
      <formula>LEFT(E54,LEN("Functioning At Risk"))="Functioning At Risk"</formula>
    </cfRule>
    <cfRule type="beginsWith" dxfId="728" priority="663" stopIfTrue="1" operator="beginsWith" text="Not Functioning">
      <formula>LEFT(E54,LEN("Not Functioning"))="Not Functioning"</formula>
    </cfRule>
    <cfRule type="containsText" dxfId="727" priority="664" operator="containsText" text="Functioning">
      <formula>NOT(ISERROR(SEARCH("Functioning",E54)))</formula>
    </cfRule>
  </conditionalFormatting>
  <conditionalFormatting sqref="E48">
    <cfRule type="expression" dxfId="726" priority="657">
      <formula>B1048491="Level 4 - Physicochemical"</formula>
    </cfRule>
    <cfRule type="expression" dxfId="725" priority="661">
      <formula>B1048491="Level 5 - Biology"</formula>
    </cfRule>
  </conditionalFormatting>
  <conditionalFormatting sqref="E50">
    <cfRule type="expression" dxfId="724" priority="656">
      <formula>B1048491="Level 4 - Physicochemical"</formula>
    </cfRule>
    <cfRule type="expression" dxfId="723" priority="660">
      <formula>B1048491="Level 5 - Biology"</formula>
    </cfRule>
  </conditionalFormatting>
  <conditionalFormatting sqref="E51">
    <cfRule type="expression" dxfId="722" priority="655">
      <formula>B1048491="Level 4 - Physicochemical"</formula>
    </cfRule>
    <cfRule type="expression" dxfId="721" priority="659">
      <formula>B1048491="Level 5 - Biology"</formula>
    </cfRule>
  </conditionalFormatting>
  <conditionalFormatting sqref="E54">
    <cfRule type="expression" dxfId="720" priority="658">
      <formula>B1048491="Level 5 - Biology"</formula>
    </cfRule>
  </conditionalFormatting>
  <conditionalFormatting sqref="E49">
    <cfRule type="expression" dxfId="719" priority="650">
      <formula>B1048491="Level 5 - Biology"</formula>
    </cfRule>
    <cfRule type="expression" dxfId="718" priority="651">
      <formula>B1048491="Level 4 - Physicochemical"</formula>
    </cfRule>
    <cfRule type="beginsWith" dxfId="717" priority="652" stopIfTrue="1" operator="beginsWith" text="Functioning At Risk">
      <formula>LEFT(E49,LEN("Functioning At Risk"))="Functioning At Risk"</formula>
    </cfRule>
    <cfRule type="beginsWith" dxfId="716" priority="653" stopIfTrue="1" operator="beginsWith" text="Not Functioning">
      <formula>LEFT(E49,LEN("Not Functioning"))="Not Functioning"</formula>
    </cfRule>
    <cfRule type="containsText" dxfId="715" priority="654" operator="containsText" text="Functioning">
      <formula>NOT(ISERROR(SEARCH("Functioning",E49)))</formula>
    </cfRule>
  </conditionalFormatting>
  <conditionalFormatting sqref="E43">
    <cfRule type="beginsWith" dxfId="714" priority="647" stopIfTrue="1" operator="beginsWith" text="Functioning At Risk">
      <formula>LEFT(E43,LEN("Functioning At Risk"))="Functioning At Risk"</formula>
    </cfRule>
    <cfRule type="beginsWith" dxfId="713" priority="648" stopIfTrue="1" operator="beginsWith" text="Not Functioning">
      <formula>LEFT(E43,LEN("Not Functioning"))="Not Functioning"</formula>
    </cfRule>
    <cfRule type="containsText" dxfId="712" priority="649" operator="containsText" text="Functioning">
      <formula>NOT(ISERROR(SEARCH("Functioning",E43)))</formula>
    </cfRule>
  </conditionalFormatting>
  <conditionalFormatting sqref="E52:E53">
    <cfRule type="beginsWith" dxfId="711" priority="644" stopIfTrue="1" operator="beginsWith" text="Functioning At Risk">
      <formula>LEFT(E52,LEN("Functioning At Risk"))="Functioning At Risk"</formula>
    </cfRule>
    <cfRule type="beginsWith" dxfId="710" priority="645" stopIfTrue="1" operator="beginsWith" text="Not Functioning">
      <formula>LEFT(E52,LEN("Not Functioning"))="Not Functioning"</formula>
    </cfRule>
    <cfRule type="containsText" dxfId="709" priority="646" operator="containsText" text="Functioning">
      <formula>NOT(ISERROR(SEARCH("Functioning",E52)))</formula>
    </cfRule>
  </conditionalFormatting>
  <conditionalFormatting sqref="E52:E53">
    <cfRule type="expression" dxfId="708" priority="643">
      <formula>B1048492="Level 5 - Biology"</formula>
    </cfRule>
  </conditionalFormatting>
  <conditionalFormatting sqref="E35">
    <cfRule type="beginsWith" dxfId="707" priority="640" stopIfTrue="1" operator="beginsWith" text="Functioning At Risk">
      <formula>LEFT(E35,LEN("Functioning At Risk"))="Functioning At Risk"</formula>
    </cfRule>
    <cfRule type="beginsWith" dxfId="706" priority="641" stopIfTrue="1" operator="beginsWith" text="Not Functioning">
      <formula>LEFT(E35,LEN("Not Functioning"))="Not Functioning"</formula>
    </cfRule>
    <cfRule type="containsText" dxfId="705" priority="642" operator="containsText" text="Functioning">
      <formula>NOT(ISERROR(SEARCH("Functioning",E35)))</formula>
    </cfRule>
  </conditionalFormatting>
  <conditionalFormatting sqref="E38">
    <cfRule type="beginsWith" dxfId="704" priority="634" stopIfTrue="1" operator="beginsWith" text="Functioning At Risk">
      <formula>LEFT(E38,LEN("Functioning At Risk"))="Functioning At Risk"</formula>
    </cfRule>
    <cfRule type="beginsWith" dxfId="703" priority="635" stopIfTrue="1" operator="beginsWith" text="Not Functioning">
      <formula>LEFT(E38,LEN("Not Functioning"))="Not Functioning"</formula>
    </cfRule>
    <cfRule type="containsText" dxfId="702" priority="636" operator="containsText" text="Functioning">
      <formula>NOT(ISERROR(SEARCH("Functioning",E38)))</formula>
    </cfRule>
  </conditionalFormatting>
  <conditionalFormatting sqref="E36">
    <cfRule type="beginsWith" dxfId="701" priority="631" stopIfTrue="1" operator="beginsWith" text="Functioning At Risk">
      <formula>LEFT(E36,LEN("Functioning At Risk"))="Functioning At Risk"</formula>
    </cfRule>
    <cfRule type="beginsWith" dxfId="700" priority="632" stopIfTrue="1" operator="beginsWith" text="Not Functioning">
      <formula>LEFT(E36,LEN("Not Functioning"))="Not Functioning"</formula>
    </cfRule>
    <cfRule type="containsText" dxfId="699" priority="633" operator="containsText" text="Functioning">
      <formula>NOT(ISERROR(SEARCH("Functioning",E36)))</formula>
    </cfRule>
  </conditionalFormatting>
  <conditionalFormatting sqref="E37">
    <cfRule type="beginsWith" dxfId="698" priority="637" stopIfTrue="1" operator="beginsWith" text="Functioning At Risk">
      <formula>LEFT(E37,LEN("Functioning At Risk"))="Functioning At Risk"</formula>
    </cfRule>
    <cfRule type="beginsWith" dxfId="697" priority="638" stopIfTrue="1" operator="beginsWith" text="Not Functioning">
      <formula>LEFT(E37,LEN("Not Functioning"))="Not Functioning"</formula>
    </cfRule>
    <cfRule type="containsText" dxfId="696" priority="639" operator="containsText" text="Functioning">
      <formula>NOT(ISERROR(SEARCH("Functioning",E37)))</formula>
    </cfRule>
  </conditionalFormatting>
  <conditionalFormatting sqref="F73 F82 F61:F62">
    <cfRule type="beginsWith" dxfId="695" priority="628" stopIfTrue="1" operator="beginsWith" text="Functioning At Risk">
      <formula>LEFT(F61,LEN("Functioning At Risk"))="Functioning At Risk"</formula>
    </cfRule>
    <cfRule type="beginsWith" dxfId="694" priority="629" stopIfTrue="1" operator="beginsWith" text="Not Functioning">
      <formula>LEFT(F61,LEN("Not Functioning"))="Not Functioning"</formula>
    </cfRule>
    <cfRule type="containsText" dxfId="693" priority="630" operator="containsText" text="Functioning">
      <formula>NOT(ISERROR(SEARCH("Functioning",F61)))</formula>
    </cfRule>
  </conditionalFormatting>
  <conditionalFormatting sqref="F80:F81">
    <cfRule type="beginsWith" dxfId="692" priority="625" stopIfTrue="1" operator="beginsWith" text="Functioning At Risk">
      <formula>LEFT(F80,LEN("Functioning At Risk"))="Functioning At Risk"</formula>
    </cfRule>
    <cfRule type="beginsWith" dxfId="691" priority="626" stopIfTrue="1" operator="beginsWith" text="Not Functioning">
      <formula>LEFT(F80,LEN("Not Functioning"))="Not Functioning"</formula>
    </cfRule>
    <cfRule type="containsText" dxfId="690" priority="627" operator="containsText" text="Functioning">
      <formula>NOT(ISERROR(SEARCH("Functioning",F80)))</formula>
    </cfRule>
  </conditionalFormatting>
  <conditionalFormatting sqref="F63">
    <cfRule type="beginsWith" dxfId="689" priority="622" stopIfTrue="1" operator="beginsWith" text="Functioning At Risk">
      <formula>LEFT(F63,LEN("Functioning At Risk"))="Functioning At Risk"</formula>
    </cfRule>
    <cfRule type="beginsWith" dxfId="688" priority="623" stopIfTrue="1" operator="beginsWith" text="Not Functioning">
      <formula>LEFT(F63,LEN("Not Functioning"))="Not Functioning"</formula>
    </cfRule>
    <cfRule type="containsText" dxfId="687" priority="624" operator="containsText" text="Functioning">
      <formula>NOT(ISERROR(SEARCH("Functioning",F63)))</formula>
    </cfRule>
  </conditionalFormatting>
  <conditionalFormatting sqref="E73:E76">
    <cfRule type="beginsWith" dxfId="686" priority="619" stopIfTrue="1" operator="beginsWith" text="Functioning At Risk">
      <formula>LEFT(E73,LEN("Functioning At Risk"))="Functioning At Risk"</formula>
    </cfRule>
    <cfRule type="beginsWith" dxfId="685" priority="620" stopIfTrue="1" operator="beginsWith" text="Not Functioning">
      <formula>LEFT(E73,LEN("Not Functioning"))="Not Functioning"</formula>
    </cfRule>
    <cfRule type="containsText" dxfId="684" priority="621" operator="containsText" text="Functioning">
      <formula>NOT(ISERROR(SEARCH("Functioning",E73)))</formula>
    </cfRule>
  </conditionalFormatting>
  <conditionalFormatting sqref="E61:E62 E67:E69">
    <cfRule type="beginsWith" dxfId="683" priority="616" stopIfTrue="1" operator="beginsWith" text="Functioning At Risk">
      <formula>LEFT(E61,LEN("Functioning At Risk"))="Functioning At Risk"</formula>
    </cfRule>
    <cfRule type="beginsWith" dxfId="682" priority="617" stopIfTrue="1" operator="beginsWith" text="Not Functioning">
      <formula>LEFT(E61,LEN("Not Functioning"))="Not Functioning"</formula>
    </cfRule>
    <cfRule type="containsText" dxfId="681" priority="618" operator="containsText" text="Functioning">
      <formula>NOT(ISERROR(SEARCH("Functioning",E61)))</formula>
    </cfRule>
  </conditionalFormatting>
  <conditionalFormatting sqref="E82">
    <cfRule type="beginsWith" dxfId="680" priority="613" stopIfTrue="1" operator="beginsWith" text="Functioning At Risk">
      <formula>LEFT(E82,LEN("Functioning At Risk"))="Functioning At Risk"</formula>
    </cfRule>
    <cfRule type="beginsWith" dxfId="679" priority="614" stopIfTrue="1" operator="beginsWith" text="Not Functioning">
      <formula>LEFT(E82,LEN("Not Functioning"))="Not Functioning"</formula>
    </cfRule>
    <cfRule type="containsText" dxfId="678" priority="615" operator="containsText" text="Functioning">
      <formula>NOT(ISERROR(SEARCH("Functioning",E82)))</formula>
    </cfRule>
  </conditionalFormatting>
  <conditionalFormatting sqref="E76">
    <cfRule type="expression" dxfId="677" priority="608">
      <formula>B1048519="Level 4 - Physicochemical"</formula>
    </cfRule>
    <cfRule type="expression" dxfId="676" priority="612">
      <formula>B1048519="Level 5 - Biology"</formula>
    </cfRule>
  </conditionalFormatting>
  <conditionalFormatting sqref="E78">
    <cfRule type="expression" dxfId="675" priority="607">
      <formula>B1048519="Level 4 - Physicochemical"</formula>
    </cfRule>
    <cfRule type="expression" dxfId="674" priority="611">
      <formula>B1048519="Level 5 - Biology"</formula>
    </cfRule>
  </conditionalFormatting>
  <conditionalFormatting sqref="E79">
    <cfRule type="expression" dxfId="673" priority="606">
      <formula>B1048519="Level 4 - Physicochemical"</formula>
    </cfRule>
    <cfRule type="expression" dxfId="672" priority="610">
      <formula>B1048519="Level 5 - Biology"</formula>
    </cfRule>
  </conditionalFormatting>
  <conditionalFormatting sqref="E82">
    <cfRule type="expression" dxfId="671" priority="609">
      <formula>B1048519="Level 5 - Biology"</formula>
    </cfRule>
  </conditionalFormatting>
  <conditionalFormatting sqref="E77">
    <cfRule type="expression" dxfId="670" priority="601">
      <formula>B1048519="Level 5 - Biology"</formula>
    </cfRule>
    <cfRule type="expression" dxfId="669" priority="602">
      <formula>B1048519="Level 4 - Physicochemical"</formula>
    </cfRule>
    <cfRule type="beginsWith" dxfId="668" priority="603" stopIfTrue="1" operator="beginsWith" text="Functioning At Risk">
      <formula>LEFT(E77,LEN("Functioning At Risk"))="Functioning At Risk"</formula>
    </cfRule>
    <cfRule type="beginsWith" dxfId="667" priority="604" stopIfTrue="1" operator="beginsWith" text="Not Functioning">
      <formula>LEFT(E77,LEN("Not Functioning"))="Not Functioning"</formula>
    </cfRule>
    <cfRule type="containsText" dxfId="666" priority="605" operator="containsText" text="Functioning">
      <formula>NOT(ISERROR(SEARCH("Functioning",E77)))</formula>
    </cfRule>
  </conditionalFormatting>
  <conditionalFormatting sqref="E71">
    <cfRule type="beginsWith" dxfId="665" priority="598" stopIfTrue="1" operator="beginsWith" text="Functioning At Risk">
      <formula>LEFT(E71,LEN("Functioning At Risk"))="Functioning At Risk"</formula>
    </cfRule>
    <cfRule type="beginsWith" dxfId="664" priority="599" stopIfTrue="1" operator="beginsWith" text="Not Functioning">
      <formula>LEFT(E71,LEN("Not Functioning"))="Not Functioning"</formula>
    </cfRule>
    <cfRule type="containsText" dxfId="663" priority="600" operator="containsText" text="Functioning">
      <formula>NOT(ISERROR(SEARCH("Functioning",E71)))</formula>
    </cfRule>
  </conditionalFormatting>
  <conditionalFormatting sqref="E80:E81">
    <cfRule type="beginsWith" dxfId="662" priority="595" stopIfTrue="1" operator="beginsWith" text="Functioning At Risk">
      <formula>LEFT(E80,LEN("Functioning At Risk"))="Functioning At Risk"</formula>
    </cfRule>
    <cfRule type="beginsWith" dxfId="661" priority="596" stopIfTrue="1" operator="beginsWith" text="Not Functioning">
      <formula>LEFT(E80,LEN("Not Functioning"))="Not Functioning"</formula>
    </cfRule>
    <cfRule type="containsText" dxfId="660" priority="597" operator="containsText" text="Functioning">
      <formula>NOT(ISERROR(SEARCH("Functioning",E80)))</formula>
    </cfRule>
  </conditionalFormatting>
  <conditionalFormatting sqref="E80:E81">
    <cfRule type="expression" dxfId="659" priority="594">
      <formula>B1048520="Level 5 - Biology"</formula>
    </cfRule>
  </conditionalFormatting>
  <conditionalFormatting sqref="E63">
    <cfRule type="beginsWith" dxfId="658" priority="591" stopIfTrue="1" operator="beginsWith" text="Functioning At Risk">
      <formula>LEFT(E63,LEN("Functioning At Risk"))="Functioning At Risk"</formula>
    </cfRule>
    <cfRule type="beginsWith" dxfId="657" priority="592" stopIfTrue="1" operator="beginsWith" text="Not Functioning">
      <formula>LEFT(E63,LEN("Not Functioning"))="Not Functioning"</formula>
    </cfRule>
    <cfRule type="containsText" dxfId="656" priority="593" operator="containsText" text="Functioning">
      <formula>NOT(ISERROR(SEARCH("Functioning",E63)))</formula>
    </cfRule>
  </conditionalFormatting>
  <conditionalFormatting sqref="E66">
    <cfRule type="beginsWith" dxfId="655" priority="585" stopIfTrue="1" operator="beginsWith" text="Functioning At Risk">
      <formula>LEFT(E66,LEN("Functioning At Risk"))="Functioning At Risk"</formula>
    </cfRule>
    <cfRule type="beginsWith" dxfId="654" priority="586" stopIfTrue="1" operator="beginsWith" text="Not Functioning">
      <formula>LEFT(E66,LEN("Not Functioning"))="Not Functioning"</formula>
    </cfRule>
    <cfRule type="containsText" dxfId="653" priority="587" operator="containsText" text="Functioning">
      <formula>NOT(ISERROR(SEARCH("Functioning",E66)))</formula>
    </cfRule>
  </conditionalFormatting>
  <conditionalFormatting sqref="E64">
    <cfRule type="beginsWith" dxfId="652" priority="582" stopIfTrue="1" operator="beginsWith" text="Functioning At Risk">
      <formula>LEFT(E64,LEN("Functioning At Risk"))="Functioning At Risk"</formula>
    </cfRule>
    <cfRule type="beginsWith" dxfId="651" priority="583" stopIfTrue="1" operator="beginsWith" text="Not Functioning">
      <formula>LEFT(E64,LEN("Not Functioning"))="Not Functioning"</formula>
    </cfRule>
    <cfRule type="containsText" dxfId="650" priority="584" operator="containsText" text="Functioning">
      <formula>NOT(ISERROR(SEARCH("Functioning",E64)))</formula>
    </cfRule>
  </conditionalFormatting>
  <conditionalFormatting sqref="E65">
    <cfRule type="beginsWith" dxfId="649" priority="588" stopIfTrue="1" operator="beginsWith" text="Functioning At Risk">
      <formula>LEFT(E65,LEN("Functioning At Risk"))="Functioning At Risk"</formula>
    </cfRule>
    <cfRule type="beginsWith" dxfId="648" priority="589" stopIfTrue="1" operator="beginsWith" text="Not Functioning">
      <formula>LEFT(E65,LEN("Not Functioning"))="Not Functioning"</formula>
    </cfRule>
    <cfRule type="containsText" dxfId="647" priority="590" operator="containsText" text="Functioning">
      <formula>NOT(ISERROR(SEARCH("Functioning",E65)))</formula>
    </cfRule>
  </conditionalFormatting>
  <conditionalFormatting sqref="F101 F110 F89:F90">
    <cfRule type="beginsWith" dxfId="646" priority="579" stopIfTrue="1" operator="beginsWith" text="Functioning At Risk">
      <formula>LEFT(F89,LEN("Functioning At Risk"))="Functioning At Risk"</formula>
    </cfRule>
    <cfRule type="beginsWith" dxfId="645" priority="580" stopIfTrue="1" operator="beginsWith" text="Not Functioning">
      <formula>LEFT(F89,LEN("Not Functioning"))="Not Functioning"</formula>
    </cfRule>
    <cfRule type="containsText" dxfId="644" priority="581" operator="containsText" text="Functioning">
      <formula>NOT(ISERROR(SEARCH("Functioning",F89)))</formula>
    </cfRule>
  </conditionalFormatting>
  <conditionalFormatting sqref="F108:F109">
    <cfRule type="beginsWith" dxfId="643" priority="576" stopIfTrue="1" operator="beginsWith" text="Functioning At Risk">
      <formula>LEFT(F108,LEN("Functioning At Risk"))="Functioning At Risk"</formula>
    </cfRule>
    <cfRule type="beginsWith" dxfId="642" priority="577" stopIfTrue="1" operator="beginsWith" text="Not Functioning">
      <formula>LEFT(F108,LEN("Not Functioning"))="Not Functioning"</formula>
    </cfRule>
    <cfRule type="containsText" dxfId="641" priority="578" operator="containsText" text="Functioning">
      <formula>NOT(ISERROR(SEARCH("Functioning",F108)))</formula>
    </cfRule>
  </conditionalFormatting>
  <conditionalFormatting sqref="F91">
    <cfRule type="beginsWith" dxfId="640" priority="573" stopIfTrue="1" operator="beginsWith" text="Functioning At Risk">
      <formula>LEFT(F91,LEN("Functioning At Risk"))="Functioning At Risk"</formula>
    </cfRule>
    <cfRule type="beginsWith" dxfId="639" priority="574" stopIfTrue="1" operator="beginsWith" text="Not Functioning">
      <formula>LEFT(F91,LEN("Not Functioning"))="Not Functioning"</formula>
    </cfRule>
    <cfRule type="containsText" dxfId="638" priority="575" operator="containsText" text="Functioning">
      <formula>NOT(ISERROR(SEARCH("Functioning",F91)))</formula>
    </cfRule>
  </conditionalFormatting>
  <conditionalFormatting sqref="E101:E104">
    <cfRule type="beginsWith" dxfId="637" priority="570" stopIfTrue="1" operator="beginsWith" text="Functioning At Risk">
      <formula>LEFT(E101,LEN("Functioning At Risk"))="Functioning At Risk"</formula>
    </cfRule>
    <cfRule type="beginsWith" dxfId="636" priority="571" stopIfTrue="1" operator="beginsWith" text="Not Functioning">
      <formula>LEFT(E101,LEN("Not Functioning"))="Not Functioning"</formula>
    </cfRule>
    <cfRule type="containsText" dxfId="635" priority="572" operator="containsText" text="Functioning">
      <formula>NOT(ISERROR(SEARCH("Functioning",E101)))</formula>
    </cfRule>
  </conditionalFormatting>
  <conditionalFormatting sqref="E89:E90 E95:E97">
    <cfRule type="beginsWith" dxfId="634" priority="567" stopIfTrue="1" operator="beginsWith" text="Functioning At Risk">
      <formula>LEFT(E89,LEN("Functioning At Risk"))="Functioning At Risk"</formula>
    </cfRule>
    <cfRule type="beginsWith" dxfId="633" priority="568" stopIfTrue="1" operator="beginsWith" text="Not Functioning">
      <formula>LEFT(E89,LEN("Not Functioning"))="Not Functioning"</formula>
    </cfRule>
    <cfRule type="containsText" dxfId="632" priority="569" operator="containsText" text="Functioning">
      <formula>NOT(ISERROR(SEARCH("Functioning",E89)))</formula>
    </cfRule>
  </conditionalFormatting>
  <conditionalFormatting sqref="E110">
    <cfRule type="beginsWith" dxfId="631" priority="564" stopIfTrue="1" operator="beginsWith" text="Functioning At Risk">
      <formula>LEFT(E110,LEN("Functioning At Risk"))="Functioning At Risk"</formula>
    </cfRule>
    <cfRule type="beginsWith" dxfId="630" priority="565" stopIfTrue="1" operator="beginsWith" text="Not Functioning">
      <formula>LEFT(E110,LEN("Not Functioning"))="Not Functioning"</formula>
    </cfRule>
    <cfRule type="containsText" dxfId="629" priority="566" operator="containsText" text="Functioning">
      <formula>NOT(ISERROR(SEARCH("Functioning",E110)))</formula>
    </cfRule>
  </conditionalFormatting>
  <conditionalFormatting sqref="E104">
    <cfRule type="expression" dxfId="628" priority="559">
      <formula>B1048547="Level 4 - Physicochemical"</formula>
    </cfRule>
    <cfRule type="expression" dxfId="627" priority="563">
      <formula>B1048547="Level 5 - Biology"</formula>
    </cfRule>
  </conditionalFormatting>
  <conditionalFormatting sqref="E106">
    <cfRule type="expression" dxfId="626" priority="558">
      <formula>B1048547="Level 4 - Physicochemical"</formula>
    </cfRule>
    <cfRule type="expression" dxfId="625" priority="562">
      <formula>B1048547="Level 5 - Biology"</formula>
    </cfRule>
  </conditionalFormatting>
  <conditionalFormatting sqref="E107">
    <cfRule type="expression" dxfId="624" priority="557">
      <formula>B1048547="Level 4 - Physicochemical"</formula>
    </cfRule>
    <cfRule type="expression" dxfId="623" priority="561">
      <formula>B1048547="Level 5 - Biology"</formula>
    </cfRule>
  </conditionalFormatting>
  <conditionalFormatting sqref="E110">
    <cfRule type="expression" dxfId="622" priority="560">
      <formula>B1048547="Level 5 - Biology"</formula>
    </cfRule>
  </conditionalFormatting>
  <conditionalFormatting sqref="E105">
    <cfRule type="expression" dxfId="621" priority="552">
      <formula>B1048547="Level 5 - Biology"</formula>
    </cfRule>
    <cfRule type="expression" dxfId="620" priority="553">
      <formula>B1048547="Level 4 - Physicochemical"</formula>
    </cfRule>
    <cfRule type="beginsWith" dxfId="619" priority="554" stopIfTrue="1" operator="beginsWith" text="Functioning At Risk">
      <formula>LEFT(E105,LEN("Functioning At Risk"))="Functioning At Risk"</formula>
    </cfRule>
    <cfRule type="beginsWith" dxfId="618" priority="555" stopIfTrue="1" operator="beginsWith" text="Not Functioning">
      <formula>LEFT(E105,LEN("Not Functioning"))="Not Functioning"</formula>
    </cfRule>
    <cfRule type="containsText" dxfId="617" priority="556" operator="containsText" text="Functioning">
      <formula>NOT(ISERROR(SEARCH("Functioning",E105)))</formula>
    </cfRule>
  </conditionalFormatting>
  <conditionalFormatting sqref="E99">
    <cfRule type="beginsWith" dxfId="616" priority="549" stopIfTrue="1" operator="beginsWith" text="Functioning At Risk">
      <formula>LEFT(E99,LEN("Functioning At Risk"))="Functioning At Risk"</formula>
    </cfRule>
    <cfRule type="beginsWith" dxfId="615" priority="550" stopIfTrue="1" operator="beginsWith" text="Not Functioning">
      <formula>LEFT(E99,LEN("Not Functioning"))="Not Functioning"</formula>
    </cfRule>
    <cfRule type="containsText" dxfId="614" priority="551" operator="containsText" text="Functioning">
      <formula>NOT(ISERROR(SEARCH("Functioning",E99)))</formula>
    </cfRule>
  </conditionalFormatting>
  <conditionalFormatting sqref="E108:E109">
    <cfRule type="beginsWith" dxfId="613" priority="546" stopIfTrue="1" operator="beginsWith" text="Functioning At Risk">
      <formula>LEFT(E108,LEN("Functioning At Risk"))="Functioning At Risk"</formula>
    </cfRule>
    <cfRule type="beginsWith" dxfId="612" priority="547" stopIfTrue="1" operator="beginsWith" text="Not Functioning">
      <formula>LEFT(E108,LEN("Not Functioning"))="Not Functioning"</formula>
    </cfRule>
    <cfRule type="containsText" dxfId="611" priority="548" operator="containsText" text="Functioning">
      <formula>NOT(ISERROR(SEARCH("Functioning",E108)))</formula>
    </cfRule>
  </conditionalFormatting>
  <conditionalFormatting sqref="E108:E109">
    <cfRule type="expression" dxfId="610" priority="545">
      <formula>B1048548="Level 5 - Biology"</formula>
    </cfRule>
  </conditionalFormatting>
  <conditionalFormatting sqref="E91">
    <cfRule type="beginsWith" dxfId="609" priority="542" stopIfTrue="1" operator="beginsWith" text="Functioning At Risk">
      <formula>LEFT(E91,LEN("Functioning At Risk"))="Functioning At Risk"</formula>
    </cfRule>
    <cfRule type="beginsWith" dxfId="608" priority="543" stopIfTrue="1" operator="beginsWith" text="Not Functioning">
      <formula>LEFT(E91,LEN("Not Functioning"))="Not Functioning"</formula>
    </cfRule>
    <cfRule type="containsText" dxfId="607" priority="544" operator="containsText" text="Functioning">
      <formula>NOT(ISERROR(SEARCH("Functioning",E91)))</formula>
    </cfRule>
  </conditionalFormatting>
  <conditionalFormatting sqref="E94">
    <cfRule type="beginsWith" dxfId="606" priority="536" stopIfTrue="1" operator="beginsWith" text="Functioning At Risk">
      <formula>LEFT(E94,LEN("Functioning At Risk"))="Functioning At Risk"</formula>
    </cfRule>
    <cfRule type="beginsWith" dxfId="605" priority="537" stopIfTrue="1" operator="beginsWith" text="Not Functioning">
      <formula>LEFT(E94,LEN("Not Functioning"))="Not Functioning"</formula>
    </cfRule>
    <cfRule type="containsText" dxfId="604" priority="538" operator="containsText" text="Functioning">
      <formula>NOT(ISERROR(SEARCH("Functioning",E94)))</formula>
    </cfRule>
  </conditionalFormatting>
  <conditionalFormatting sqref="E92">
    <cfRule type="beginsWith" dxfId="603" priority="533" stopIfTrue="1" operator="beginsWith" text="Functioning At Risk">
      <formula>LEFT(E92,LEN("Functioning At Risk"))="Functioning At Risk"</formula>
    </cfRule>
    <cfRule type="beginsWith" dxfId="602" priority="534" stopIfTrue="1" operator="beginsWith" text="Not Functioning">
      <formula>LEFT(E92,LEN("Not Functioning"))="Not Functioning"</formula>
    </cfRule>
    <cfRule type="containsText" dxfId="601" priority="535" operator="containsText" text="Functioning">
      <formula>NOT(ISERROR(SEARCH("Functioning",E92)))</formula>
    </cfRule>
  </conditionalFormatting>
  <conditionalFormatting sqref="E93">
    <cfRule type="beginsWith" dxfId="600" priority="539" stopIfTrue="1" operator="beginsWith" text="Functioning At Risk">
      <formula>LEFT(E93,LEN("Functioning At Risk"))="Functioning At Risk"</formula>
    </cfRule>
    <cfRule type="beginsWith" dxfId="599" priority="540" stopIfTrue="1" operator="beginsWith" text="Not Functioning">
      <formula>LEFT(E93,LEN("Not Functioning"))="Not Functioning"</formula>
    </cfRule>
    <cfRule type="containsText" dxfId="598" priority="541" operator="containsText" text="Functioning">
      <formula>NOT(ISERROR(SEARCH("Functioning",E93)))</formula>
    </cfRule>
  </conditionalFormatting>
  <conditionalFormatting sqref="F129 F138 F117:F118">
    <cfRule type="beginsWith" dxfId="597" priority="530" stopIfTrue="1" operator="beginsWith" text="Functioning At Risk">
      <formula>LEFT(F117,LEN("Functioning At Risk"))="Functioning At Risk"</formula>
    </cfRule>
    <cfRule type="beginsWith" dxfId="596" priority="531" stopIfTrue="1" operator="beginsWith" text="Not Functioning">
      <formula>LEFT(F117,LEN("Not Functioning"))="Not Functioning"</formula>
    </cfRule>
    <cfRule type="containsText" dxfId="595" priority="532" operator="containsText" text="Functioning">
      <formula>NOT(ISERROR(SEARCH("Functioning",F117)))</formula>
    </cfRule>
  </conditionalFormatting>
  <conditionalFormatting sqref="F136:F137">
    <cfRule type="beginsWith" dxfId="594" priority="527" stopIfTrue="1" operator="beginsWith" text="Functioning At Risk">
      <formula>LEFT(F136,LEN("Functioning At Risk"))="Functioning At Risk"</formula>
    </cfRule>
    <cfRule type="beginsWith" dxfId="593" priority="528" stopIfTrue="1" operator="beginsWith" text="Not Functioning">
      <formula>LEFT(F136,LEN("Not Functioning"))="Not Functioning"</formula>
    </cfRule>
    <cfRule type="containsText" dxfId="592" priority="529" operator="containsText" text="Functioning">
      <formula>NOT(ISERROR(SEARCH("Functioning",F136)))</formula>
    </cfRule>
  </conditionalFormatting>
  <conditionalFormatting sqref="F119">
    <cfRule type="beginsWith" dxfId="591" priority="524" stopIfTrue="1" operator="beginsWith" text="Functioning At Risk">
      <formula>LEFT(F119,LEN("Functioning At Risk"))="Functioning At Risk"</formula>
    </cfRule>
    <cfRule type="beginsWith" dxfId="590" priority="525" stopIfTrue="1" operator="beginsWith" text="Not Functioning">
      <formula>LEFT(F119,LEN("Not Functioning"))="Not Functioning"</formula>
    </cfRule>
    <cfRule type="containsText" dxfId="589" priority="526" operator="containsText" text="Functioning">
      <formula>NOT(ISERROR(SEARCH("Functioning",F119)))</formula>
    </cfRule>
  </conditionalFormatting>
  <conditionalFormatting sqref="E129:E132">
    <cfRule type="beginsWith" dxfId="588" priority="521" stopIfTrue="1" operator="beginsWith" text="Functioning At Risk">
      <formula>LEFT(E129,LEN("Functioning At Risk"))="Functioning At Risk"</formula>
    </cfRule>
    <cfRule type="beginsWith" dxfId="587" priority="522" stopIfTrue="1" operator="beginsWith" text="Not Functioning">
      <formula>LEFT(E129,LEN("Not Functioning"))="Not Functioning"</formula>
    </cfRule>
    <cfRule type="containsText" dxfId="586" priority="523" operator="containsText" text="Functioning">
      <formula>NOT(ISERROR(SEARCH("Functioning",E129)))</formula>
    </cfRule>
  </conditionalFormatting>
  <conditionalFormatting sqref="E117:E118 E123:E125">
    <cfRule type="beginsWith" dxfId="585" priority="518" stopIfTrue="1" operator="beginsWith" text="Functioning At Risk">
      <formula>LEFT(E117,LEN("Functioning At Risk"))="Functioning At Risk"</formula>
    </cfRule>
    <cfRule type="beginsWith" dxfId="584" priority="519" stopIfTrue="1" operator="beginsWith" text="Not Functioning">
      <formula>LEFT(E117,LEN("Not Functioning"))="Not Functioning"</formula>
    </cfRule>
    <cfRule type="containsText" dxfId="583" priority="520" operator="containsText" text="Functioning">
      <formula>NOT(ISERROR(SEARCH("Functioning",E117)))</formula>
    </cfRule>
  </conditionalFormatting>
  <conditionalFormatting sqref="E138">
    <cfRule type="beginsWith" dxfId="582" priority="515" stopIfTrue="1" operator="beginsWith" text="Functioning At Risk">
      <formula>LEFT(E138,LEN("Functioning At Risk"))="Functioning At Risk"</formula>
    </cfRule>
    <cfRule type="beginsWith" dxfId="581" priority="516" stopIfTrue="1" operator="beginsWith" text="Not Functioning">
      <formula>LEFT(E138,LEN("Not Functioning"))="Not Functioning"</formula>
    </cfRule>
    <cfRule type="containsText" dxfId="580" priority="517" operator="containsText" text="Functioning">
      <formula>NOT(ISERROR(SEARCH("Functioning",E138)))</formula>
    </cfRule>
  </conditionalFormatting>
  <conditionalFormatting sqref="E132">
    <cfRule type="expression" dxfId="579" priority="510">
      <formula>B1048575="Level 4 - Physicochemical"</formula>
    </cfRule>
    <cfRule type="expression" dxfId="578" priority="514">
      <formula>B1048575="Level 5 - Biology"</formula>
    </cfRule>
  </conditionalFormatting>
  <conditionalFormatting sqref="E134">
    <cfRule type="expression" dxfId="577" priority="509">
      <formula>B1048575="Level 4 - Physicochemical"</formula>
    </cfRule>
    <cfRule type="expression" dxfId="576" priority="513">
      <formula>B1048575="Level 5 - Biology"</formula>
    </cfRule>
  </conditionalFormatting>
  <conditionalFormatting sqref="E135">
    <cfRule type="expression" dxfId="575" priority="508">
      <formula>B1048575="Level 4 - Physicochemical"</formula>
    </cfRule>
    <cfRule type="expression" dxfId="574" priority="512">
      <formula>B1048575="Level 5 - Biology"</formula>
    </cfRule>
  </conditionalFormatting>
  <conditionalFormatting sqref="E138">
    <cfRule type="expression" dxfId="573" priority="511">
      <formula>B1048575="Level 5 - Biology"</formula>
    </cfRule>
  </conditionalFormatting>
  <conditionalFormatting sqref="E133">
    <cfRule type="expression" dxfId="572" priority="503">
      <formula>B1048575="Level 5 - Biology"</formula>
    </cfRule>
    <cfRule type="expression" dxfId="571" priority="504">
      <formula>B1048575="Level 4 - Physicochemical"</formula>
    </cfRule>
    <cfRule type="beginsWith" dxfId="570" priority="505" stopIfTrue="1" operator="beginsWith" text="Functioning At Risk">
      <formula>LEFT(E133,LEN("Functioning At Risk"))="Functioning At Risk"</formula>
    </cfRule>
    <cfRule type="beginsWith" dxfId="569" priority="506" stopIfTrue="1" operator="beginsWith" text="Not Functioning">
      <formula>LEFT(E133,LEN("Not Functioning"))="Not Functioning"</formula>
    </cfRule>
    <cfRule type="containsText" dxfId="568" priority="507" operator="containsText" text="Functioning">
      <formula>NOT(ISERROR(SEARCH("Functioning",E133)))</formula>
    </cfRule>
  </conditionalFormatting>
  <conditionalFormatting sqref="E127">
    <cfRule type="beginsWith" dxfId="567" priority="500" stopIfTrue="1" operator="beginsWith" text="Functioning At Risk">
      <formula>LEFT(E127,LEN("Functioning At Risk"))="Functioning At Risk"</formula>
    </cfRule>
    <cfRule type="beginsWith" dxfId="566" priority="501" stopIfTrue="1" operator="beginsWith" text="Not Functioning">
      <formula>LEFT(E127,LEN("Not Functioning"))="Not Functioning"</formula>
    </cfRule>
    <cfRule type="containsText" dxfId="565" priority="502" operator="containsText" text="Functioning">
      <formula>NOT(ISERROR(SEARCH("Functioning",E127)))</formula>
    </cfRule>
  </conditionalFormatting>
  <conditionalFormatting sqref="E136:E137">
    <cfRule type="beginsWith" dxfId="564" priority="497" stopIfTrue="1" operator="beginsWith" text="Functioning At Risk">
      <formula>LEFT(E136,LEN("Functioning At Risk"))="Functioning At Risk"</formula>
    </cfRule>
    <cfRule type="beginsWith" dxfId="563" priority="498" stopIfTrue="1" operator="beginsWith" text="Not Functioning">
      <formula>LEFT(E136,LEN("Not Functioning"))="Not Functioning"</formula>
    </cfRule>
    <cfRule type="containsText" dxfId="562" priority="499" operator="containsText" text="Functioning">
      <formula>NOT(ISERROR(SEARCH("Functioning",E136)))</formula>
    </cfRule>
  </conditionalFormatting>
  <conditionalFormatting sqref="E136:E137">
    <cfRule type="expression" dxfId="561" priority="496">
      <formula>B1048576="Level 5 - Biology"</formula>
    </cfRule>
  </conditionalFormatting>
  <conditionalFormatting sqref="E119">
    <cfRule type="beginsWith" dxfId="560" priority="493" stopIfTrue="1" operator="beginsWith" text="Functioning At Risk">
      <formula>LEFT(E119,LEN("Functioning At Risk"))="Functioning At Risk"</formula>
    </cfRule>
    <cfRule type="beginsWith" dxfId="559" priority="494" stopIfTrue="1" operator="beginsWith" text="Not Functioning">
      <formula>LEFT(E119,LEN("Not Functioning"))="Not Functioning"</formula>
    </cfRule>
    <cfRule type="containsText" dxfId="558" priority="495" operator="containsText" text="Functioning">
      <formula>NOT(ISERROR(SEARCH("Functioning",E119)))</formula>
    </cfRule>
  </conditionalFormatting>
  <conditionalFormatting sqref="E122">
    <cfRule type="beginsWith" dxfId="557" priority="487" stopIfTrue="1" operator="beginsWith" text="Functioning At Risk">
      <formula>LEFT(E122,LEN("Functioning At Risk"))="Functioning At Risk"</formula>
    </cfRule>
    <cfRule type="beginsWith" dxfId="556" priority="488" stopIfTrue="1" operator="beginsWith" text="Not Functioning">
      <formula>LEFT(E122,LEN("Not Functioning"))="Not Functioning"</formula>
    </cfRule>
    <cfRule type="containsText" dxfId="555" priority="489" operator="containsText" text="Functioning">
      <formula>NOT(ISERROR(SEARCH("Functioning",E122)))</formula>
    </cfRule>
  </conditionalFormatting>
  <conditionalFormatting sqref="E120">
    <cfRule type="beginsWith" dxfId="554" priority="484" stopIfTrue="1" operator="beginsWith" text="Functioning At Risk">
      <formula>LEFT(E120,LEN("Functioning At Risk"))="Functioning At Risk"</formula>
    </cfRule>
    <cfRule type="beginsWith" dxfId="553" priority="485" stopIfTrue="1" operator="beginsWith" text="Not Functioning">
      <formula>LEFT(E120,LEN("Not Functioning"))="Not Functioning"</formula>
    </cfRule>
    <cfRule type="containsText" dxfId="552" priority="486" operator="containsText" text="Functioning">
      <formula>NOT(ISERROR(SEARCH("Functioning",E120)))</formula>
    </cfRule>
  </conditionalFormatting>
  <conditionalFormatting sqref="E121">
    <cfRule type="beginsWith" dxfId="551" priority="490" stopIfTrue="1" operator="beginsWith" text="Functioning At Risk">
      <formula>LEFT(E121,LEN("Functioning At Risk"))="Functioning At Risk"</formula>
    </cfRule>
    <cfRule type="beginsWith" dxfId="550" priority="491" stopIfTrue="1" operator="beginsWith" text="Not Functioning">
      <formula>LEFT(E121,LEN("Not Functioning"))="Not Functioning"</formula>
    </cfRule>
    <cfRule type="containsText" dxfId="549" priority="492" operator="containsText" text="Functioning">
      <formula>NOT(ISERROR(SEARCH("Functioning",E121)))</formula>
    </cfRule>
  </conditionalFormatting>
  <conditionalFormatting sqref="F157 F166 F145:F146">
    <cfRule type="beginsWith" dxfId="548" priority="481" stopIfTrue="1" operator="beginsWith" text="Functioning At Risk">
      <formula>LEFT(F145,LEN("Functioning At Risk"))="Functioning At Risk"</formula>
    </cfRule>
    <cfRule type="beginsWith" dxfId="547" priority="482" stopIfTrue="1" operator="beginsWith" text="Not Functioning">
      <formula>LEFT(F145,LEN("Not Functioning"))="Not Functioning"</formula>
    </cfRule>
    <cfRule type="containsText" dxfId="546" priority="483" operator="containsText" text="Functioning">
      <formula>NOT(ISERROR(SEARCH("Functioning",F145)))</formula>
    </cfRule>
  </conditionalFormatting>
  <conditionalFormatting sqref="F164:F165">
    <cfRule type="beginsWith" dxfId="545" priority="478" stopIfTrue="1" operator="beginsWith" text="Functioning At Risk">
      <formula>LEFT(F164,LEN("Functioning At Risk"))="Functioning At Risk"</formula>
    </cfRule>
    <cfRule type="beginsWith" dxfId="544" priority="479" stopIfTrue="1" operator="beginsWith" text="Not Functioning">
      <formula>LEFT(F164,LEN("Not Functioning"))="Not Functioning"</formula>
    </cfRule>
    <cfRule type="containsText" dxfId="543" priority="480" operator="containsText" text="Functioning">
      <formula>NOT(ISERROR(SEARCH("Functioning",F164)))</formula>
    </cfRule>
  </conditionalFormatting>
  <conditionalFormatting sqref="F147">
    <cfRule type="beginsWith" dxfId="542" priority="475" stopIfTrue="1" operator="beginsWith" text="Functioning At Risk">
      <formula>LEFT(F147,LEN("Functioning At Risk"))="Functioning At Risk"</formula>
    </cfRule>
    <cfRule type="beginsWith" dxfId="541" priority="476" stopIfTrue="1" operator="beginsWith" text="Not Functioning">
      <formula>LEFT(F147,LEN("Not Functioning"))="Not Functioning"</formula>
    </cfRule>
    <cfRule type="containsText" dxfId="540" priority="477" operator="containsText" text="Functioning">
      <formula>NOT(ISERROR(SEARCH("Functioning",F147)))</formula>
    </cfRule>
  </conditionalFormatting>
  <conditionalFormatting sqref="E157:E160">
    <cfRule type="beginsWith" dxfId="539" priority="472" stopIfTrue="1" operator="beginsWith" text="Functioning At Risk">
      <formula>LEFT(E157,LEN("Functioning At Risk"))="Functioning At Risk"</formula>
    </cfRule>
    <cfRule type="beginsWith" dxfId="538" priority="473" stopIfTrue="1" operator="beginsWith" text="Not Functioning">
      <formula>LEFT(E157,LEN("Not Functioning"))="Not Functioning"</formula>
    </cfRule>
    <cfRule type="containsText" dxfId="537" priority="474" operator="containsText" text="Functioning">
      <formula>NOT(ISERROR(SEARCH("Functioning",E157)))</formula>
    </cfRule>
  </conditionalFormatting>
  <conditionalFormatting sqref="E145:E146 E151:E153">
    <cfRule type="beginsWith" dxfId="536" priority="469" stopIfTrue="1" operator="beginsWith" text="Functioning At Risk">
      <formula>LEFT(E145,LEN("Functioning At Risk"))="Functioning At Risk"</formula>
    </cfRule>
    <cfRule type="beginsWith" dxfId="535" priority="470" stopIfTrue="1" operator="beginsWith" text="Not Functioning">
      <formula>LEFT(E145,LEN("Not Functioning"))="Not Functioning"</formula>
    </cfRule>
    <cfRule type="containsText" dxfId="534" priority="471" operator="containsText" text="Functioning">
      <formula>NOT(ISERROR(SEARCH("Functioning",E145)))</formula>
    </cfRule>
  </conditionalFormatting>
  <conditionalFormatting sqref="E166">
    <cfRule type="beginsWith" dxfId="533" priority="466" stopIfTrue="1" operator="beginsWith" text="Functioning At Risk">
      <formula>LEFT(E166,LEN("Functioning At Risk"))="Functioning At Risk"</formula>
    </cfRule>
    <cfRule type="beginsWith" dxfId="532" priority="467" stopIfTrue="1" operator="beginsWith" text="Not Functioning">
      <formula>LEFT(E166,LEN("Not Functioning"))="Not Functioning"</formula>
    </cfRule>
    <cfRule type="containsText" dxfId="531" priority="468" operator="containsText" text="Functioning">
      <formula>NOT(ISERROR(SEARCH("Functioning",E166)))</formula>
    </cfRule>
  </conditionalFormatting>
  <conditionalFormatting sqref="E160">
    <cfRule type="expression" dxfId="530" priority="461">
      <formula>B27="Level 4 - Physicochemical"</formula>
    </cfRule>
    <cfRule type="expression" dxfId="529" priority="465">
      <formula>B27="Level 5 - Biology"</formula>
    </cfRule>
  </conditionalFormatting>
  <conditionalFormatting sqref="E162">
    <cfRule type="expression" dxfId="528" priority="460">
      <formula>B27="Level 4 - Physicochemical"</formula>
    </cfRule>
    <cfRule type="expression" dxfId="527" priority="464">
      <formula>B27="Level 5 - Biology"</formula>
    </cfRule>
  </conditionalFormatting>
  <conditionalFormatting sqref="E163">
    <cfRule type="expression" dxfId="526" priority="459">
      <formula>B27="Level 4 - Physicochemical"</formula>
    </cfRule>
    <cfRule type="expression" dxfId="525" priority="463">
      <formula>B27="Level 5 - Biology"</formula>
    </cfRule>
  </conditionalFormatting>
  <conditionalFormatting sqref="E166">
    <cfRule type="expression" dxfId="524" priority="462">
      <formula>B27="Level 5 - Biology"</formula>
    </cfRule>
  </conditionalFormatting>
  <conditionalFormatting sqref="E161">
    <cfRule type="expression" dxfId="523" priority="454">
      <formula>B27="Level 5 - Biology"</formula>
    </cfRule>
    <cfRule type="expression" dxfId="522" priority="455">
      <formula>B27="Level 4 - Physicochemical"</formula>
    </cfRule>
    <cfRule type="beginsWith" dxfId="521" priority="456" stopIfTrue="1" operator="beginsWith" text="Functioning At Risk">
      <formula>LEFT(E161,LEN("Functioning At Risk"))="Functioning At Risk"</formula>
    </cfRule>
    <cfRule type="beginsWith" dxfId="520" priority="457" stopIfTrue="1" operator="beginsWith" text="Not Functioning">
      <formula>LEFT(E161,LEN("Not Functioning"))="Not Functioning"</formula>
    </cfRule>
    <cfRule type="containsText" dxfId="519" priority="458" operator="containsText" text="Functioning">
      <formula>NOT(ISERROR(SEARCH("Functioning",E161)))</formula>
    </cfRule>
  </conditionalFormatting>
  <conditionalFormatting sqref="E155">
    <cfRule type="beginsWith" dxfId="518" priority="451" stopIfTrue="1" operator="beginsWith" text="Functioning At Risk">
      <formula>LEFT(E155,LEN("Functioning At Risk"))="Functioning At Risk"</formula>
    </cfRule>
    <cfRule type="beginsWith" dxfId="517" priority="452" stopIfTrue="1" operator="beginsWith" text="Not Functioning">
      <formula>LEFT(E155,LEN("Not Functioning"))="Not Functioning"</formula>
    </cfRule>
    <cfRule type="containsText" dxfId="516" priority="453" operator="containsText" text="Functioning">
      <formula>NOT(ISERROR(SEARCH("Functioning",E155)))</formula>
    </cfRule>
  </conditionalFormatting>
  <conditionalFormatting sqref="E164:E165">
    <cfRule type="beginsWith" dxfId="515" priority="448" stopIfTrue="1" operator="beginsWith" text="Functioning At Risk">
      <formula>LEFT(E164,LEN("Functioning At Risk"))="Functioning At Risk"</formula>
    </cfRule>
    <cfRule type="beginsWith" dxfId="514" priority="449" stopIfTrue="1" operator="beginsWith" text="Not Functioning">
      <formula>LEFT(E164,LEN("Not Functioning"))="Not Functioning"</formula>
    </cfRule>
    <cfRule type="containsText" dxfId="513" priority="450" operator="containsText" text="Functioning">
      <formula>NOT(ISERROR(SEARCH("Functioning",E164)))</formula>
    </cfRule>
  </conditionalFormatting>
  <conditionalFormatting sqref="E164:E165">
    <cfRule type="expression" dxfId="512" priority="447">
      <formula>B28="Level 5 - Biology"</formula>
    </cfRule>
  </conditionalFormatting>
  <conditionalFormatting sqref="E147">
    <cfRule type="beginsWith" dxfId="511" priority="444" stopIfTrue="1" operator="beginsWith" text="Functioning At Risk">
      <formula>LEFT(E147,LEN("Functioning At Risk"))="Functioning At Risk"</formula>
    </cfRule>
    <cfRule type="beginsWith" dxfId="510" priority="445" stopIfTrue="1" operator="beginsWith" text="Not Functioning">
      <formula>LEFT(E147,LEN("Not Functioning"))="Not Functioning"</formula>
    </cfRule>
    <cfRule type="containsText" dxfId="509" priority="446" operator="containsText" text="Functioning">
      <formula>NOT(ISERROR(SEARCH("Functioning",E147)))</formula>
    </cfRule>
  </conditionalFormatting>
  <conditionalFormatting sqref="E150">
    <cfRule type="beginsWith" dxfId="508" priority="438" stopIfTrue="1" operator="beginsWith" text="Functioning At Risk">
      <formula>LEFT(E150,LEN("Functioning At Risk"))="Functioning At Risk"</formula>
    </cfRule>
    <cfRule type="beginsWith" dxfId="507" priority="439" stopIfTrue="1" operator="beginsWith" text="Not Functioning">
      <formula>LEFT(E150,LEN("Not Functioning"))="Not Functioning"</formula>
    </cfRule>
    <cfRule type="containsText" dxfId="506" priority="440" operator="containsText" text="Functioning">
      <formula>NOT(ISERROR(SEARCH("Functioning",E150)))</formula>
    </cfRule>
  </conditionalFormatting>
  <conditionalFormatting sqref="E148">
    <cfRule type="beginsWith" dxfId="505" priority="435" stopIfTrue="1" operator="beginsWith" text="Functioning At Risk">
      <formula>LEFT(E148,LEN("Functioning At Risk"))="Functioning At Risk"</formula>
    </cfRule>
    <cfRule type="beginsWith" dxfId="504" priority="436" stopIfTrue="1" operator="beginsWith" text="Not Functioning">
      <formula>LEFT(E148,LEN("Not Functioning"))="Not Functioning"</formula>
    </cfRule>
    <cfRule type="containsText" dxfId="503" priority="437" operator="containsText" text="Functioning">
      <formula>NOT(ISERROR(SEARCH("Functioning",E148)))</formula>
    </cfRule>
  </conditionalFormatting>
  <conditionalFormatting sqref="E149">
    <cfRule type="beginsWith" dxfId="502" priority="441" stopIfTrue="1" operator="beginsWith" text="Functioning At Risk">
      <formula>LEFT(E149,LEN("Functioning At Risk"))="Functioning At Risk"</formula>
    </cfRule>
    <cfRule type="beginsWith" dxfId="501" priority="442" stopIfTrue="1" operator="beginsWith" text="Not Functioning">
      <formula>LEFT(E149,LEN("Not Functioning"))="Not Functioning"</formula>
    </cfRule>
    <cfRule type="containsText" dxfId="500" priority="443" operator="containsText" text="Functioning">
      <formula>NOT(ISERROR(SEARCH("Functioning",E149)))</formula>
    </cfRule>
  </conditionalFormatting>
  <conditionalFormatting sqref="F185 F194 F173:F174">
    <cfRule type="beginsWith" dxfId="499" priority="432" stopIfTrue="1" operator="beginsWith" text="Functioning At Risk">
      <formula>LEFT(F173,LEN("Functioning At Risk"))="Functioning At Risk"</formula>
    </cfRule>
    <cfRule type="beginsWith" dxfId="498" priority="433" stopIfTrue="1" operator="beginsWith" text="Not Functioning">
      <formula>LEFT(F173,LEN("Not Functioning"))="Not Functioning"</formula>
    </cfRule>
    <cfRule type="containsText" dxfId="497" priority="434" operator="containsText" text="Functioning">
      <formula>NOT(ISERROR(SEARCH("Functioning",F173)))</formula>
    </cfRule>
  </conditionalFormatting>
  <conditionalFormatting sqref="F192:F193">
    <cfRule type="beginsWith" dxfId="496" priority="429" stopIfTrue="1" operator="beginsWith" text="Functioning At Risk">
      <formula>LEFT(F192,LEN("Functioning At Risk"))="Functioning At Risk"</formula>
    </cfRule>
    <cfRule type="beginsWith" dxfId="495" priority="430" stopIfTrue="1" operator="beginsWith" text="Not Functioning">
      <formula>LEFT(F192,LEN("Not Functioning"))="Not Functioning"</formula>
    </cfRule>
    <cfRule type="containsText" dxfId="494" priority="431" operator="containsText" text="Functioning">
      <formula>NOT(ISERROR(SEARCH("Functioning",F192)))</formula>
    </cfRule>
  </conditionalFormatting>
  <conditionalFormatting sqref="F175">
    <cfRule type="beginsWith" dxfId="493" priority="426" stopIfTrue="1" operator="beginsWith" text="Functioning At Risk">
      <formula>LEFT(F175,LEN("Functioning At Risk"))="Functioning At Risk"</formula>
    </cfRule>
    <cfRule type="beginsWith" dxfId="492" priority="427" stopIfTrue="1" operator="beginsWith" text="Not Functioning">
      <formula>LEFT(F175,LEN("Not Functioning"))="Not Functioning"</formula>
    </cfRule>
    <cfRule type="containsText" dxfId="491" priority="428" operator="containsText" text="Functioning">
      <formula>NOT(ISERROR(SEARCH("Functioning",F175)))</formula>
    </cfRule>
  </conditionalFormatting>
  <conditionalFormatting sqref="E185:E188">
    <cfRule type="beginsWith" dxfId="490" priority="423" stopIfTrue="1" operator="beginsWith" text="Functioning At Risk">
      <formula>LEFT(E185,LEN("Functioning At Risk"))="Functioning At Risk"</formula>
    </cfRule>
    <cfRule type="beginsWith" dxfId="489" priority="424" stopIfTrue="1" operator="beginsWith" text="Not Functioning">
      <formula>LEFT(E185,LEN("Not Functioning"))="Not Functioning"</formula>
    </cfRule>
    <cfRule type="containsText" dxfId="488" priority="425" operator="containsText" text="Functioning">
      <formula>NOT(ISERROR(SEARCH("Functioning",E185)))</formula>
    </cfRule>
  </conditionalFormatting>
  <conditionalFormatting sqref="E173:E174 E179:E181">
    <cfRule type="beginsWith" dxfId="487" priority="420" stopIfTrue="1" operator="beginsWith" text="Functioning At Risk">
      <formula>LEFT(E173,LEN("Functioning At Risk"))="Functioning At Risk"</formula>
    </cfRule>
    <cfRule type="beginsWith" dxfId="486" priority="421" stopIfTrue="1" operator="beginsWith" text="Not Functioning">
      <formula>LEFT(E173,LEN("Not Functioning"))="Not Functioning"</formula>
    </cfRule>
    <cfRule type="containsText" dxfId="485" priority="422" operator="containsText" text="Functioning">
      <formula>NOT(ISERROR(SEARCH("Functioning",E173)))</formula>
    </cfRule>
  </conditionalFormatting>
  <conditionalFormatting sqref="E194">
    <cfRule type="beginsWith" dxfId="484" priority="417" stopIfTrue="1" operator="beginsWith" text="Functioning At Risk">
      <formula>LEFT(E194,LEN("Functioning At Risk"))="Functioning At Risk"</formula>
    </cfRule>
    <cfRule type="beginsWith" dxfId="483" priority="418" stopIfTrue="1" operator="beginsWith" text="Not Functioning">
      <formula>LEFT(E194,LEN("Not Functioning"))="Not Functioning"</formula>
    </cfRule>
    <cfRule type="containsText" dxfId="482" priority="419" operator="containsText" text="Functioning">
      <formula>NOT(ISERROR(SEARCH("Functioning",E194)))</formula>
    </cfRule>
  </conditionalFormatting>
  <conditionalFormatting sqref="E188">
    <cfRule type="expression" dxfId="481" priority="412">
      <formula>B55="Level 4 - Physicochemical"</formula>
    </cfRule>
    <cfRule type="expression" dxfId="480" priority="416">
      <formula>B55="Level 5 - Biology"</formula>
    </cfRule>
  </conditionalFormatting>
  <conditionalFormatting sqref="E190">
    <cfRule type="expression" dxfId="479" priority="411">
      <formula>B55="Level 4 - Physicochemical"</formula>
    </cfRule>
    <cfRule type="expression" dxfId="478" priority="415">
      <formula>B55="Level 5 - Biology"</formula>
    </cfRule>
  </conditionalFormatting>
  <conditionalFormatting sqref="E191">
    <cfRule type="expression" dxfId="477" priority="410">
      <formula>B55="Level 4 - Physicochemical"</formula>
    </cfRule>
    <cfRule type="expression" dxfId="476" priority="414">
      <formula>B55="Level 5 - Biology"</formula>
    </cfRule>
  </conditionalFormatting>
  <conditionalFormatting sqref="E194">
    <cfRule type="expression" dxfId="475" priority="413">
      <formula>B55="Level 5 - Biology"</formula>
    </cfRule>
  </conditionalFormatting>
  <conditionalFormatting sqref="E189">
    <cfRule type="expression" dxfId="474" priority="405">
      <formula>B55="Level 5 - Biology"</formula>
    </cfRule>
    <cfRule type="expression" dxfId="473" priority="406">
      <formula>B55="Level 4 - Physicochemical"</formula>
    </cfRule>
    <cfRule type="beginsWith" dxfId="472" priority="407" stopIfTrue="1" operator="beginsWith" text="Functioning At Risk">
      <formula>LEFT(E189,LEN("Functioning At Risk"))="Functioning At Risk"</formula>
    </cfRule>
    <cfRule type="beginsWith" dxfId="471" priority="408" stopIfTrue="1" operator="beginsWith" text="Not Functioning">
      <formula>LEFT(E189,LEN("Not Functioning"))="Not Functioning"</formula>
    </cfRule>
    <cfRule type="containsText" dxfId="470" priority="409" operator="containsText" text="Functioning">
      <formula>NOT(ISERROR(SEARCH("Functioning",E189)))</formula>
    </cfRule>
  </conditionalFormatting>
  <conditionalFormatting sqref="E183">
    <cfRule type="beginsWith" dxfId="469" priority="402" stopIfTrue="1" operator="beginsWith" text="Functioning At Risk">
      <formula>LEFT(E183,LEN("Functioning At Risk"))="Functioning At Risk"</formula>
    </cfRule>
    <cfRule type="beginsWith" dxfId="468" priority="403" stopIfTrue="1" operator="beginsWith" text="Not Functioning">
      <formula>LEFT(E183,LEN("Not Functioning"))="Not Functioning"</formula>
    </cfRule>
    <cfRule type="containsText" dxfId="467" priority="404" operator="containsText" text="Functioning">
      <formula>NOT(ISERROR(SEARCH("Functioning",E183)))</formula>
    </cfRule>
  </conditionalFormatting>
  <conditionalFormatting sqref="E192:E193">
    <cfRule type="beginsWith" dxfId="466" priority="399" stopIfTrue="1" operator="beginsWith" text="Functioning At Risk">
      <formula>LEFT(E192,LEN("Functioning At Risk"))="Functioning At Risk"</formula>
    </cfRule>
    <cfRule type="beginsWith" dxfId="465" priority="400" stopIfTrue="1" operator="beginsWith" text="Not Functioning">
      <formula>LEFT(E192,LEN("Not Functioning"))="Not Functioning"</formula>
    </cfRule>
    <cfRule type="containsText" dxfId="464" priority="401" operator="containsText" text="Functioning">
      <formula>NOT(ISERROR(SEARCH("Functioning",E192)))</formula>
    </cfRule>
  </conditionalFormatting>
  <conditionalFormatting sqref="E192:E193">
    <cfRule type="expression" dxfId="463" priority="398">
      <formula>B56="Level 5 - Biology"</formula>
    </cfRule>
  </conditionalFormatting>
  <conditionalFormatting sqref="E175">
    <cfRule type="beginsWith" dxfId="462" priority="395" stopIfTrue="1" operator="beginsWith" text="Functioning At Risk">
      <formula>LEFT(E175,LEN("Functioning At Risk"))="Functioning At Risk"</formula>
    </cfRule>
    <cfRule type="beginsWith" dxfId="461" priority="396" stopIfTrue="1" operator="beginsWith" text="Not Functioning">
      <formula>LEFT(E175,LEN("Not Functioning"))="Not Functioning"</formula>
    </cfRule>
    <cfRule type="containsText" dxfId="460" priority="397" operator="containsText" text="Functioning">
      <formula>NOT(ISERROR(SEARCH("Functioning",E175)))</formula>
    </cfRule>
  </conditionalFormatting>
  <conditionalFormatting sqref="E178">
    <cfRule type="beginsWith" dxfId="459" priority="389" stopIfTrue="1" operator="beginsWith" text="Functioning At Risk">
      <formula>LEFT(E178,LEN("Functioning At Risk"))="Functioning At Risk"</formula>
    </cfRule>
    <cfRule type="beginsWith" dxfId="458" priority="390" stopIfTrue="1" operator="beginsWith" text="Not Functioning">
      <formula>LEFT(E178,LEN("Not Functioning"))="Not Functioning"</formula>
    </cfRule>
    <cfRule type="containsText" dxfId="457" priority="391" operator="containsText" text="Functioning">
      <formula>NOT(ISERROR(SEARCH("Functioning",E178)))</formula>
    </cfRule>
  </conditionalFormatting>
  <conditionalFormatting sqref="E176">
    <cfRule type="beginsWith" dxfId="456" priority="386" stopIfTrue="1" operator="beginsWith" text="Functioning At Risk">
      <formula>LEFT(E176,LEN("Functioning At Risk"))="Functioning At Risk"</formula>
    </cfRule>
    <cfRule type="beginsWith" dxfId="455" priority="387" stopIfTrue="1" operator="beginsWith" text="Not Functioning">
      <formula>LEFT(E176,LEN("Not Functioning"))="Not Functioning"</formula>
    </cfRule>
    <cfRule type="containsText" dxfId="454" priority="388" operator="containsText" text="Functioning">
      <formula>NOT(ISERROR(SEARCH("Functioning",E176)))</formula>
    </cfRule>
  </conditionalFormatting>
  <conditionalFormatting sqref="E177">
    <cfRule type="beginsWith" dxfId="453" priority="392" stopIfTrue="1" operator="beginsWith" text="Functioning At Risk">
      <formula>LEFT(E177,LEN("Functioning At Risk"))="Functioning At Risk"</formula>
    </cfRule>
    <cfRule type="beginsWith" dxfId="452" priority="393" stopIfTrue="1" operator="beginsWith" text="Not Functioning">
      <formula>LEFT(E177,LEN("Not Functioning"))="Not Functioning"</formula>
    </cfRule>
    <cfRule type="containsText" dxfId="451" priority="394" operator="containsText" text="Functioning">
      <formula>NOT(ISERROR(SEARCH("Functioning",E177)))</formula>
    </cfRule>
  </conditionalFormatting>
  <conditionalFormatting sqref="F213 F222 F201:F202">
    <cfRule type="beginsWith" dxfId="450" priority="383" stopIfTrue="1" operator="beginsWith" text="Functioning At Risk">
      <formula>LEFT(F201,LEN("Functioning At Risk"))="Functioning At Risk"</formula>
    </cfRule>
    <cfRule type="beginsWith" dxfId="449" priority="384" stopIfTrue="1" operator="beginsWith" text="Not Functioning">
      <formula>LEFT(F201,LEN("Not Functioning"))="Not Functioning"</formula>
    </cfRule>
    <cfRule type="containsText" dxfId="448" priority="385" operator="containsText" text="Functioning">
      <formula>NOT(ISERROR(SEARCH("Functioning",F201)))</formula>
    </cfRule>
  </conditionalFormatting>
  <conditionalFormatting sqref="F220:F221">
    <cfRule type="beginsWith" dxfId="447" priority="380" stopIfTrue="1" operator="beginsWith" text="Functioning At Risk">
      <formula>LEFT(F220,LEN("Functioning At Risk"))="Functioning At Risk"</formula>
    </cfRule>
    <cfRule type="beginsWith" dxfId="446" priority="381" stopIfTrue="1" operator="beginsWith" text="Not Functioning">
      <formula>LEFT(F220,LEN("Not Functioning"))="Not Functioning"</formula>
    </cfRule>
    <cfRule type="containsText" dxfId="445" priority="382" operator="containsText" text="Functioning">
      <formula>NOT(ISERROR(SEARCH("Functioning",F220)))</formula>
    </cfRule>
  </conditionalFormatting>
  <conditionalFormatting sqref="F203">
    <cfRule type="beginsWith" dxfId="444" priority="377" stopIfTrue="1" operator="beginsWith" text="Functioning At Risk">
      <formula>LEFT(F203,LEN("Functioning At Risk"))="Functioning At Risk"</formula>
    </cfRule>
    <cfRule type="beginsWith" dxfId="443" priority="378" stopIfTrue="1" operator="beginsWith" text="Not Functioning">
      <formula>LEFT(F203,LEN("Not Functioning"))="Not Functioning"</formula>
    </cfRule>
    <cfRule type="containsText" dxfId="442" priority="379" operator="containsText" text="Functioning">
      <formula>NOT(ISERROR(SEARCH("Functioning",F203)))</formula>
    </cfRule>
  </conditionalFormatting>
  <conditionalFormatting sqref="E213:E216">
    <cfRule type="beginsWith" dxfId="441" priority="374" stopIfTrue="1" operator="beginsWith" text="Functioning At Risk">
      <formula>LEFT(E213,LEN("Functioning At Risk"))="Functioning At Risk"</formula>
    </cfRule>
    <cfRule type="beginsWith" dxfId="440" priority="375" stopIfTrue="1" operator="beginsWith" text="Not Functioning">
      <formula>LEFT(E213,LEN("Not Functioning"))="Not Functioning"</formula>
    </cfRule>
    <cfRule type="containsText" dxfId="439" priority="376" operator="containsText" text="Functioning">
      <formula>NOT(ISERROR(SEARCH("Functioning",E213)))</formula>
    </cfRule>
  </conditionalFormatting>
  <conditionalFormatting sqref="E201:E202 E207:E209">
    <cfRule type="beginsWith" dxfId="438" priority="371" stopIfTrue="1" operator="beginsWith" text="Functioning At Risk">
      <formula>LEFT(E201,LEN("Functioning At Risk"))="Functioning At Risk"</formula>
    </cfRule>
    <cfRule type="beginsWith" dxfId="437" priority="372" stopIfTrue="1" operator="beginsWith" text="Not Functioning">
      <formula>LEFT(E201,LEN("Not Functioning"))="Not Functioning"</formula>
    </cfRule>
    <cfRule type="containsText" dxfId="436" priority="373" operator="containsText" text="Functioning">
      <formula>NOT(ISERROR(SEARCH("Functioning",E201)))</formula>
    </cfRule>
  </conditionalFormatting>
  <conditionalFormatting sqref="E222">
    <cfRule type="beginsWith" dxfId="435" priority="368" stopIfTrue="1" operator="beginsWith" text="Functioning At Risk">
      <formula>LEFT(E222,LEN("Functioning At Risk"))="Functioning At Risk"</formula>
    </cfRule>
    <cfRule type="beginsWith" dxfId="434" priority="369" stopIfTrue="1" operator="beginsWith" text="Not Functioning">
      <formula>LEFT(E222,LEN("Not Functioning"))="Not Functioning"</formula>
    </cfRule>
    <cfRule type="containsText" dxfId="433" priority="370" operator="containsText" text="Functioning">
      <formula>NOT(ISERROR(SEARCH("Functioning",E222)))</formula>
    </cfRule>
  </conditionalFormatting>
  <conditionalFormatting sqref="E216">
    <cfRule type="expression" dxfId="432" priority="363">
      <formula>B83="Level 4 - Physicochemical"</formula>
    </cfRule>
    <cfRule type="expression" dxfId="431" priority="367">
      <formula>B83="Level 5 - Biology"</formula>
    </cfRule>
  </conditionalFormatting>
  <conditionalFormatting sqref="E218">
    <cfRule type="expression" dxfId="430" priority="362">
      <formula>B83="Level 4 - Physicochemical"</formula>
    </cfRule>
    <cfRule type="expression" dxfId="429" priority="366">
      <formula>B83="Level 5 - Biology"</formula>
    </cfRule>
  </conditionalFormatting>
  <conditionalFormatting sqref="E219">
    <cfRule type="expression" dxfId="428" priority="361">
      <formula>B83="Level 4 - Physicochemical"</formula>
    </cfRule>
    <cfRule type="expression" dxfId="427" priority="365">
      <formula>B83="Level 5 - Biology"</formula>
    </cfRule>
  </conditionalFormatting>
  <conditionalFormatting sqref="E222">
    <cfRule type="expression" dxfId="426" priority="364">
      <formula>B83="Level 5 - Biology"</formula>
    </cfRule>
  </conditionalFormatting>
  <conditionalFormatting sqref="E217">
    <cfRule type="expression" dxfId="425" priority="356">
      <formula>B83="Level 5 - Biology"</formula>
    </cfRule>
    <cfRule type="expression" dxfId="424" priority="357">
      <formula>B83="Level 4 - Physicochemical"</formula>
    </cfRule>
    <cfRule type="beginsWith" dxfId="423" priority="358" stopIfTrue="1" operator="beginsWith" text="Functioning At Risk">
      <formula>LEFT(E217,LEN("Functioning At Risk"))="Functioning At Risk"</formula>
    </cfRule>
    <cfRule type="beginsWith" dxfId="422" priority="359" stopIfTrue="1" operator="beginsWith" text="Not Functioning">
      <formula>LEFT(E217,LEN("Not Functioning"))="Not Functioning"</formula>
    </cfRule>
    <cfRule type="containsText" dxfId="421" priority="360" operator="containsText" text="Functioning">
      <formula>NOT(ISERROR(SEARCH("Functioning",E217)))</formula>
    </cfRule>
  </conditionalFormatting>
  <conditionalFormatting sqref="E211">
    <cfRule type="beginsWith" dxfId="420" priority="353" stopIfTrue="1" operator="beginsWith" text="Functioning At Risk">
      <formula>LEFT(E211,LEN("Functioning At Risk"))="Functioning At Risk"</formula>
    </cfRule>
    <cfRule type="beginsWith" dxfId="419" priority="354" stopIfTrue="1" operator="beginsWith" text="Not Functioning">
      <formula>LEFT(E211,LEN("Not Functioning"))="Not Functioning"</formula>
    </cfRule>
    <cfRule type="containsText" dxfId="418" priority="355" operator="containsText" text="Functioning">
      <formula>NOT(ISERROR(SEARCH("Functioning",E211)))</formula>
    </cfRule>
  </conditionalFormatting>
  <conditionalFormatting sqref="E220:E221">
    <cfRule type="beginsWith" dxfId="417" priority="350" stopIfTrue="1" operator="beginsWith" text="Functioning At Risk">
      <formula>LEFT(E220,LEN("Functioning At Risk"))="Functioning At Risk"</formula>
    </cfRule>
    <cfRule type="beginsWith" dxfId="416" priority="351" stopIfTrue="1" operator="beginsWith" text="Not Functioning">
      <formula>LEFT(E220,LEN("Not Functioning"))="Not Functioning"</formula>
    </cfRule>
    <cfRule type="containsText" dxfId="415" priority="352" operator="containsText" text="Functioning">
      <formula>NOT(ISERROR(SEARCH("Functioning",E220)))</formula>
    </cfRule>
  </conditionalFormatting>
  <conditionalFormatting sqref="E220:E221">
    <cfRule type="expression" dxfId="414" priority="349">
      <formula>B84="Level 5 - Biology"</formula>
    </cfRule>
  </conditionalFormatting>
  <conditionalFormatting sqref="E203">
    <cfRule type="beginsWith" dxfId="413" priority="346" stopIfTrue="1" operator="beginsWith" text="Functioning At Risk">
      <formula>LEFT(E203,LEN("Functioning At Risk"))="Functioning At Risk"</formula>
    </cfRule>
    <cfRule type="beginsWith" dxfId="412" priority="347" stopIfTrue="1" operator="beginsWith" text="Not Functioning">
      <formula>LEFT(E203,LEN("Not Functioning"))="Not Functioning"</formula>
    </cfRule>
    <cfRule type="containsText" dxfId="411" priority="348" operator="containsText" text="Functioning">
      <formula>NOT(ISERROR(SEARCH("Functioning",E203)))</formula>
    </cfRule>
  </conditionalFormatting>
  <conditionalFormatting sqref="E206">
    <cfRule type="beginsWith" dxfId="410" priority="340" stopIfTrue="1" operator="beginsWith" text="Functioning At Risk">
      <formula>LEFT(E206,LEN("Functioning At Risk"))="Functioning At Risk"</formula>
    </cfRule>
    <cfRule type="beginsWith" dxfId="409" priority="341" stopIfTrue="1" operator="beginsWith" text="Not Functioning">
      <formula>LEFT(E206,LEN("Not Functioning"))="Not Functioning"</formula>
    </cfRule>
    <cfRule type="containsText" dxfId="408" priority="342" operator="containsText" text="Functioning">
      <formula>NOT(ISERROR(SEARCH("Functioning",E206)))</formula>
    </cfRule>
  </conditionalFormatting>
  <conditionalFormatting sqref="E204">
    <cfRule type="beginsWith" dxfId="407" priority="337" stopIfTrue="1" operator="beginsWith" text="Functioning At Risk">
      <formula>LEFT(E204,LEN("Functioning At Risk"))="Functioning At Risk"</formula>
    </cfRule>
    <cfRule type="beginsWith" dxfId="406" priority="338" stopIfTrue="1" operator="beginsWith" text="Not Functioning">
      <formula>LEFT(E204,LEN("Not Functioning"))="Not Functioning"</formula>
    </cfRule>
    <cfRule type="containsText" dxfId="405" priority="339" operator="containsText" text="Functioning">
      <formula>NOT(ISERROR(SEARCH("Functioning",E204)))</formula>
    </cfRule>
  </conditionalFormatting>
  <conditionalFormatting sqref="E205">
    <cfRule type="beginsWith" dxfId="404" priority="343" stopIfTrue="1" operator="beginsWith" text="Functioning At Risk">
      <formula>LEFT(E205,LEN("Functioning At Risk"))="Functioning At Risk"</formula>
    </cfRule>
    <cfRule type="beginsWith" dxfId="403" priority="344" stopIfTrue="1" operator="beginsWith" text="Not Functioning">
      <formula>LEFT(E205,LEN("Not Functioning"))="Not Functioning"</formula>
    </cfRule>
    <cfRule type="containsText" dxfId="402" priority="345" operator="containsText" text="Functioning">
      <formula>NOT(ISERROR(SEARCH("Functioning",E205)))</formula>
    </cfRule>
  </conditionalFormatting>
  <conditionalFormatting sqref="F241 F250 F229:F230">
    <cfRule type="beginsWith" dxfId="401" priority="334" stopIfTrue="1" operator="beginsWith" text="Functioning At Risk">
      <formula>LEFT(F229,LEN("Functioning At Risk"))="Functioning At Risk"</formula>
    </cfRule>
    <cfRule type="beginsWith" dxfId="400" priority="335" stopIfTrue="1" operator="beginsWith" text="Not Functioning">
      <formula>LEFT(F229,LEN("Not Functioning"))="Not Functioning"</formula>
    </cfRule>
    <cfRule type="containsText" dxfId="399" priority="336" operator="containsText" text="Functioning">
      <formula>NOT(ISERROR(SEARCH("Functioning",F229)))</formula>
    </cfRule>
  </conditionalFormatting>
  <conditionalFormatting sqref="F248:F249">
    <cfRule type="beginsWith" dxfId="398" priority="331" stopIfTrue="1" operator="beginsWith" text="Functioning At Risk">
      <formula>LEFT(F248,LEN("Functioning At Risk"))="Functioning At Risk"</formula>
    </cfRule>
    <cfRule type="beginsWith" dxfId="397" priority="332" stopIfTrue="1" operator="beginsWith" text="Not Functioning">
      <formula>LEFT(F248,LEN("Not Functioning"))="Not Functioning"</formula>
    </cfRule>
    <cfRule type="containsText" dxfId="396" priority="333" operator="containsText" text="Functioning">
      <formula>NOT(ISERROR(SEARCH("Functioning",F248)))</formula>
    </cfRule>
  </conditionalFormatting>
  <conditionalFormatting sqref="F231">
    <cfRule type="beginsWith" dxfId="395" priority="328" stopIfTrue="1" operator="beginsWith" text="Functioning At Risk">
      <formula>LEFT(F231,LEN("Functioning At Risk"))="Functioning At Risk"</formula>
    </cfRule>
    <cfRule type="beginsWith" dxfId="394" priority="329" stopIfTrue="1" operator="beginsWith" text="Not Functioning">
      <formula>LEFT(F231,LEN("Not Functioning"))="Not Functioning"</formula>
    </cfRule>
    <cfRule type="containsText" dxfId="393" priority="330" operator="containsText" text="Functioning">
      <formula>NOT(ISERROR(SEARCH("Functioning",F231)))</formula>
    </cfRule>
  </conditionalFormatting>
  <conditionalFormatting sqref="E241:E244">
    <cfRule type="beginsWith" dxfId="392" priority="325" stopIfTrue="1" operator="beginsWith" text="Functioning At Risk">
      <formula>LEFT(E241,LEN("Functioning At Risk"))="Functioning At Risk"</formula>
    </cfRule>
    <cfRule type="beginsWith" dxfId="391" priority="326" stopIfTrue="1" operator="beginsWith" text="Not Functioning">
      <formula>LEFT(E241,LEN("Not Functioning"))="Not Functioning"</formula>
    </cfRule>
    <cfRule type="containsText" dxfId="390" priority="327" operator="containsText" text="Functioning">
      <formula>NOT(ISERROR(SEARCH("Functioning",E241)))</formula>
    </cfRule>
  </conditionalFormatting>
  <conditionalFormatting sqref="E229:E230 E235:E237">
    <cfRule type="beginsWith" dxfId="389" priority="322" stopIfTrue="1" operator="beginsWith" text="Functioning At Risk">
      <formula>LEFT(E229,LEN("Functioning At Risk"))="Functioning At Risk"</formula>
    </cfRule>
    <cfRule type="beginsWith" dxfId="388" priority="323" stopIfTrue="1" operator="beginsWith" text="Not Functioning">
      <formula>LEFT(E229,LEN("Not Functioning"))="Not Functioning"</formula>
    </cfRule>
    <cfRule type="containsText" dxfId="387" priority="324" operator="containsText" text="Functioning">
      <formula>NOT(ISERROR(SEARCH("Functioning",E229)))</formula>
    </cfRule>
  </conditionalFormatting>
  <conditionalFormatting sqref="E250">
    <cfRule type="beginsWith" dxfId="386" priority="319" stopIfTrue="1" operator="beginsWith" text="Functioning At Risk">
      <formula>LEFT(E250,LEN("Functioning At Risk"))="Functioning At Risk"</formula>
    </cfRule>
    <cfRule type="beginsWith" dxfId="385" priority="320" stopIfTrue="1" operator="beginsWith" text="Not Functioning">
      <formula>LEFT(E250,LEN("Not Functioning"))="Not Functioning"</formula>
    </cfRule>
    <cfRule type="containsText" dxfId="384" priority="321" operator="containsText" text="Functioning">
      <formula>NOT(ISERROR(SEARCH("Functioning",E250)))</formula>
    </cfRule>
  </conditionalFormatting>
  <conditionalFormatting sqref="E244">
    <cfRule type="expression" dxfId="383" priority="314">
      <formula>B111="Level 4 - Physicochemical"</formula>
    </cfRule>
    <cfRule type="expression" dxfId="382" priority="318">
      <formula>B111="Level 5 - Biology"</formula>
    </cfRule>
  </conditionalFormatting>
  <conditionalFormatting sqref="E246">
    <cfRule type="expression" dxfId="381" priority="313">
      <formula>B111="Level 4 - Physicochemical"</formula>
    </cfRule>
    <cfRule type="expression" dxfId="380" priority="317">
      <formula>B111="Level 5 - Biology"</formula>
    </cfRule>
  </conditionalFormatting>
  <conditionalFormatting sqref="E247">
    <cfRule type="expression" dxfId="379" priority="312">
      <formula>B111="Level 4 - Physicochemical"</formula>
    </cfRule>
    <cfRule type="expression" dxfId="378" priority="316">
      <formula>B111="Level 5 - Biology"</formula>
    </cfRule>
  </conditionalFormatting>
  <conditionalFormatting sqref="E250">
    <cfRule type="expression" dxfId="377" priority="315">
      <formula>B111="Level 5 - Biology"</formula>
    </cfRule>
  </conditionalFormatting>
  <conditionalFormatting sqref="E245">
    <cfRule type="expression" dxfId="376" priority="307">
      <formula>B111="Level 5 - Biology"</formula>
    </cfRule>
    <cfRule type="expression" dxfId="375" priority="308">
      <formula>B111="Level 4 - Physicochemical"</formula>
    </cfRule>
    <cfRule type="beginsWith" dxfId="374" priority="309" stopIfTrue="1" operator="beginsWith" text="Functioning At Risk">
      <formula>LEFT(E245,LEN("Functioning At Risk"))="Functioning At Risk"</formula>
    </cfRule>
    <cfRule type="beginsWith" dxfId="373" priority="310" stopIfTrue="1" operator="beginsWith" text="Not Functioning">
      <formula>LEFT(E245,LEN("Not Functioning"))="Not Functioning"</formula>
    </cfRule>
    <cfRule type="containsText" dxfId="372" priority="311" operator="containsText" text="Functioning">
      <formula>NOT(ISERROR(SEARCH("Functioning",E245)))</formula>
    </cfRule>
  </conditionalFormatting>
  <conditionalFormatting sqref="E239">
    <cfRule type="beginsWith" dxfId="371" priority="304" stopIfTrue="1" operator="beginsWith" text="Functioning At Risk">
      <formula>LEFT(E239,LEN("Functioning At Risk"))="Functioning At Risk"</formula>
    </cfRule>
    <cfRule type="beginsWith" dxfId="370" priority="305" stopIfTrue="1" operator="beginsWith" text="Not Functioning">
      <formula>LEFT(E239,LEN("Not Functioning"))="Not Functioning"</formula>
    </cfRule>
    <cfRule type="containsText" dxfId="369" priority="306" operator="containsText" text="Functioning">
      <formula>NOT(ISERROR(SEARCH("Functioning",E239)))</formula>
    </cfRule>
  </conditionalFormatting>
  <conditionalFormatting sqref="E248:E249">
    <cfRule type="beginsWith" dxfId="368" priority="301" stopIfTrue="1" operator="beginsWith" text="Functioning At Risk">
      <formula>LEFT(E248,LEN("Functioning At Risk"))="Functioning At Risk"</formula>
    </cfRule>
    <cfRule type="beginsWith" dxfId="367" priority="302" stopIfTrue="1" operator="beginsWith" text="Not Functioning">
      <formula>LEFT(E248,LEN("Not Functioning"))="Not Functioning"</formula>
    </cfRule>
    <cfRule type="containsText" dxfId="366" priority="303" operator="containsText" text="Functioning">
      <formula>NOT(ISERROR(SEARCH("Functioning",E248)))</formula>
    </cfRule>
  </conditionalFormatting>
  <conditionalFormatting sqref="E248:E249">
    <cfRule type="expression" dxfId="365" priority="300">
      <formula>B112="Level 5 - Biology"</formula>
    </cfRule>
  </conditionalFormatting>
  <conditionalFormatting sqref="E231">
    <cfRule type="beginsWith" dxfId="364" priority="297" stopIfTrue="1" operator="beginsWith" text="Functioning At Risk">
      <formula>LEFT(E231,LEN("Functioning At Risk"))="Functioning At Risk"</formula>
    </cfRule>
    <cfRule type="beginsWith" dxfId="363" priority="298" stopIfTrue="1" operator="beginsWith" text="Not Functioning">
      <formula>LEFT(E231,LEN("Not Functioning"))="Not Functioning"</formula>
    </cfRule>
    <cfRule type="containsText" dxfId="362" priority="299" operator="containsText" text="Functioning">
      <formula>NOT(ISERROR(SEARCH("Functioning",E231)))</formula>
    </cfRule>
  </conditionalFormatting>
  <conditionalFormatting sqref="E234">
    <cfRule type="beginsWith" dxfId="361" priority="291" stopIfTrue="1" operator="beginsWith" text="Functioning At Risk">
      <formula>LEFT(E234,LEN("Functioning At Risk"))="Functioning At Risk"</formula>
    </cfRule>
    <cfRule type="beginsWith" dxfId="360" priority="292" stopIfTrue="1" operator="beginsWith" text="Not Functioning">
      <formula>LEFT(E234,LEN("Not Functioning"))="Not Functioning"</formula>
    </cfRule>
    <cfRule type="containsText" dxfId="359" priority="293" operator="containsText" text="Functioning">
      <formula>NOT(ISERROR(SEARCH("Functioning",E234)))</formula>
    </cfRule>
  </conditionalFormatting>
  <conditionalFormatting sqref="E232">
    <cfRule type="beginsWith" dxfId="358" priority="288" stopIfTrue="1" operator="beginsWith" text="Functioning At Risk">
      <formula>LEFT(E232,LEN("Functioning At Risk"))="Functioning At Risk"</formula>
    </cfRule>
    <cfRule type="beginsWith" dxfId="357" priority="289" stopIfTrue="1" operator="beginsWith" text="Not Functioning">
      <formula>LEFT(E232,LEN("Not Functioning"))="Not Functioning"</formula>
    </cfRule>
    <cfRule type="containsText" dxfId="356" priority="290" operator="containsText" text="Functioning">
      <formula>NOT(ISERROR(SEARCH("Functioning",E232)))</formula>
    </cfRule>
  </conditionalFormatting>
  <conditionalFormatting sqref="E233">
    <cfRule type="beginsWith" dxfId="355" priority="294" stopIfTrue="1" operator="beginsWith" text="Functioning At Risk">
      <formula>LEFT(E233,LEN("Functioning At Risk"))="Functioning At Risk"</formula>
    </cfRule>
    <cfRule type="beginsWith" dxfId="354" priority="295" stopIfTrue="1" operator="beginsWith" text="Not Functioning">
      <formula>LEFT(E233,LEN("Not Functioning"))="Not Functioning"</formula>
    </cfRule>
    <cfRule type="containsText" dxfId="353" priority="296" operator="containsText" text="Functioning">
      <formula>NOT(ISERROR(SEARCH("Functioning",E233)))</formula>
    </cfRule>
  </conditionalFormatting>
  <conditionalFormatting sqref="F269 F278 F257:F258">
    <cfRule type="beginsWith" dxfId="352" priority="285" stopIfTrue="1" operator="beginsWith" text="Functioning At Risk">
      <formula>LEFT(F257,LEN("Functioning At Risk"))="Functioning At Risk"</formula>
    </cfRule>
    <cfRule type="beginsWith" dxfId="351" priority="286" stopIfTrue="1" operator="beginsWith" text="Not Functioning">
      <formula>LEFT(F257,LEN("Not Functioning"))="Not Functioning"</formula>
    </cfRule>
    <cfRule type="containsText" dxfId="350" priority="287" operator="containsText" text="Functioning">
      <formula>NOT(ISERROR(SEARCH("Functioning",F257)))</formula>
    </cfRule>
  </conditionalFormatting>
  <conditionalFormatting sqref="F276:F277">
    <cfRule type="beginsWith" dxfId="349" priority="282" stopIfTrue="1" operator="beginsWith" text="Functioning At Risk">
      <formula>LEFT(F276,LEN("Functioning At Risk"))="Functioning At Risk"</formula>
    </cfRule>
    <cfRule type="beginsWith" dxfId="348" priority="283" stopIfTrue="1" operator="beginsWith" text="Not Functioning">
      <formula>LEFT(F276,LEN("Not Functioning"))="Not Functioning"</formula>
    </cfRule>
    <cfRule type="containsText" dxfId="347" priority="284" operator="containsText" text="Functioning">
      <formula>NOT(ISERROR(SEARCH("Functioning",F276)))</formula>
    </cfRule>
  </conditionalFormatting>
  <conditionalFormatting sqref="F259">
    <cfRule type="beginsWith" dxfId="346" priority="279" stopIfTrue="1" operator="beginsWith" text="Functioning At Risk">
      <formula>LEFT(F259,LEN("Functioning At Risk"))="Functioning At Risk"</formula>
    </cfRule>
    <cfRule type="beginsWith" dxfId="345" priority="280" stopIfTrue="1" operator="beginsWith" text="Not Functioning">
      <formula>LEFT(F259,LEN("Not Functioning"))="Not Functioning"</formula>
    </cfRule>
    <cfRule type="containsText" dxfId="344" priority="281" operator="containsText" text="Functioning">
      <formula>NOT(ISERROR(SEARCH("Functioning",F259)))</formula>
    </cfRule>
  </conditionalFormatting>
  <conditionalFormatting sqref="E269:E272">
    <cfRule type="beginsWith" dxfId="343" priority="276" stopIfTrue="1" operator="beginsWith" text="Functioning At Risk">
      <formula>LEFT(E269,LEN("Functioning At Risk"))="Functioning At Risk"</formula>
    </cfRule>
    <cfRule type="beginsWith" dxfId="342" priority="277" stopIfTrue="1" operator="beginsWith" text="Not Functioning">
      <formula>LEFT(E269,LEN("Not Functioning"))="Not Functioning"</formula>
    </cfRule>
    <cfRule type="containsText" dxfId="341" priority="278" operator="containsText" text="Functioning">
      <formula>NOT(ISERROR(SEARCH("Functioning",E269)))</formula>
    </cfRule>
  </conditionalFormatting>
  <conditionalFormatting sqref="E257:E258 E263:E265">
    <cfRule type="beginsWith" dxfId="340" priority="273" stopIfTrue="1" operator="beginsWith" text="Functioning At Risk">
      <formula>LEFT(E257,LEN("Functioning At Risk"))="Functioning At Risk"</formula>
    </cfRule>
    <cfRule type="beginsWith" dxfId="339" priority="274" stopIfTrue="1" operator="beginsWith" text="Not Functioning">
      <formula>LEFT(E257,LEN("Not Functioning"))="Not Functioning"</formula>
    </cfRule>
    <cfRule type="containsText" dxfId="338" priority="275" operator="containsText" text="Functioning">
      <formula>NOT(ISERROR(SEARCH("Functioning",E257)))</formula>
    </cfRule>
  </conditionalFormatting>
  <conditionalFormatting sqref="E278">
    <cfRule type="beginsWith" dxfId="337" priority="270" stopIfTrue="1" operator="beginsWith" text="Functioning At Risk">
      <formula>LEFT(E278,LEN("Functioning At Risk"))="Functioning At Risk"</formula>
    </cfRule>
    <cfRule type="beginsWith" dxfId="336" priority="271" stopIfTrue="1" operator="beginsWith" text="Not Functioning">
      <formula>LEFT(E278,LEN("Not Functioning"))="Not Functioning"</formula>
    </cfRule>
    <cfRule type="containsText" dxfId="335" priority="272" operator="containsText" text="Functioning">
      <formula>NOT(ISERROR(SEARCH("Functioning",E278)))</formula>
    </cfRule>
  </conditionalFormatting>
  <conditionalFormatting sqref="E272">
    <cfRule type="expression" dxfId="334" priority="265">
      <formula>B139="Level 4 - Physicochemical"</formula>
    </cfRule>
    <cfRule type="expression" dxfId="333" priority="269">
      <formula>B139="Level 5 - Biology"</formula>
    </cfRule>
  </conditionalFormatting>
  <conditionalFormatting sqref="E274">
    <cfRule type="expression" dxfId="332" priority="264">
      <formula>B139="Level 4 - Physicochemical"</formula>
    </cfRule>
    <cfRule type="expression" dxfId="331" priority="268">
      <formula>B139="Level 5 - Biology"</formula>
    </cfRule>
  </conditionalFormatting>
  <conditionalFormatting sqref="E275">
    <cfRule type="expression" dxfId="330" priority="263">
      <formula>B139="Level 4 - Physicochemical"</formula>
    </cfRule>
    <cfRule type="expression" dxfId="329" priority="267">
      <formula>B139="Level 5 - Biology"</formula>
    </cfRule>
  </conditionalFormatting>
  <conditionalFormatting sqref="E278">
    <cfRule type="expression" dxfId="328" priority="266">
      <formula>B139="Level 5 - Biology"</formula>
    </cfRule>
  </conditionalFormatting>
  <conditionalFormatting sqref="E273">
    <cfRule type="expression" dxfId="327" priority="258">
      <formula>B139="Level 5 - Biology"</formula>
    </cfRule>
    <cfRule type="expression" dxfId="326" priority="259">
      <formula>B139="Level 4 - Physicochemical"</formula>
    </cfRule>
    <cfRule type="beginsWith" dxfId="325" priority="260" stopIfTrue="1" operator="beginsWith" text="Functioning At Risk">
      <formula>LEFT(E273,LEN("Functioning At Risk"))="Functioning At Risk"</formula>
    </cfRule>
    <cfRule type="beginsWith" dxfId="324" priority="261" stopIfTrue="1" operator="beginsWith" text="Not Functioning">
      <formula>LEFT(E273,LEN("Not Functioning"))="Not Functioning"</formula>
    </cfRule>
    <cfRule type="containsText" dxfId="323" priority="262" operator="containsText" text="Functioning">
      <formula>NOT(ISERROR(SEARCH("Functioning",E273)))</formula>
    </cfRule>
  </conditionalFormatting>
  <conditionalFormatting sqref="E267">
    <cfRule type="beginsWith" dxfId="322" priority="255" stopIfTrue="1" operator="beginsWith" text="Functioning At Risk">
      <formula>LEFT(E267,LEN("Functioning At Risk"))="Functioning At Risk"</formula>
    </cfRule>
    <cfRule type="beginsWith" dxfId="321" priority="256" stopIfTrue="1" operator="beginsWith" text="Not Functioning">
      <formula>LEFT(E267,LEN("Not Functioning"))="Not Functioning"</formula>
    </cfRule>
    <cfRule type="containsText" dxfId="320" priority="257" operator="containsText" text="Functioning">
      <formula>NOT(ISERROR(SEARCH("Functioning",E267)))</formula>
    </cfRule>
  </conditionalFormatting>
  <conditionalFormatting sqref="E276:E277">
    <cfRule type="beginsWith" dxfId="319" priority="252" stopIfTrue="1" operator="beginsWith" text="Functioning At Risk">
      <formula>LEFT(E276,LEN("Functioning At Risk"))="Functioning At Risk"</formula>
    </cfRule>
    <cfRule type="beginsWith" dxfId="318" priority="253" stopIfTrue="1" operator="beginsWith" text="Not Functioning">
      <formula>LEFT(E276,LEN("Not Functioning"))="Not Functioning"</formula>
    </cfRule>
    <cfRule type="containsText" dxfId="317" priority="254" operator="containsText" text="Functioning">
      <formula>NOT(ISERROR(SEARCH("Functioning",E276)))</formula>
    </cfRule>
  </conditionalFormatting>
  <conditionalFormatting sqref="E276:E277">
    <cfRule type="expression" dxfId="316" priority="251">
      <formula>B140="Level 5 - Biology"</formula>
    </cfRule>
  </conditionalFormatting>
  <conditionalFormatting sqref="E259">
    <cfRule type="beginsWith" dxfId="315" priority="248" stopIfTrue="1" operator="beginsWith" text="Functioning At Risk">
      <formula>LEFT(E259,LEN("Functioning At Risk"))="Functioning At Risk"</formula>
    </cfRule>
    <cfRule type="beginsWith" dxfId="314" priority="249" stopIfTrue="1" operator="beginsWith" text="Not Functioning">
      <formula>LEFT(E259,LEN("Not Functioning"))="Not Functioning"</formula>
    </cfRule>
    <cfRule type="containsText" dxfId="313" priority="250" operator="containsText" text="Functioning">
      <formula>NOT(ISERROR(SEARCH("Functioning",E259)))</formula>
    </cfRule>
  </conditionalFormatting>
  <conditionalFormatting sqref="E262">
    <cfRule type="beginsWith" dxfId="312" priority="242" stopIfTrue="1" operator="beginsWith" text="Functioning At Risk">
      <formula>LEFT(E262,LEN("Functioning At Risk"))="Functioning At Risk"</formula>
    </cfRule>
    <cfRule type="beginsWith" dxfId="311" priority="243" stopIfTrue="1" operator="beginsWith" text="Not Functioning">
      <formula>LEFT(E262,LEN("Not Functioning"))="Not Functioning"</formula>
    </cfRule>
    <cfRule type="containsText" dxfId="310" priority="244" operator="containsText" text="Functioning">
      <formula>NOT(ISERROR(SEARCH("Functioning",E262)))</formula>
    </cfRule>
  </conditionalFormatting>
  <conditionalFormatting sqref="E260">
    <cfRule type="beginsWith" dxfId="309" priority="239" stopIfTrue="1" operator="beginsWith" text="Functioning At Risk">
      <formula>LEFT(E260,LEN("Functioning At Risk"))="Functioning At Risk"</formula>
    </cfRule>
    <cfRule type="beginsWith" dxfId="308" priority="240" stopIfTrue="1" operator="beginsWith" text="Not Functioning">
      <formula>LEFT(E260,LEN("Not Functioning"))="Not Functioning"</formula>
    </cfRule>
    <cfRule type="containsText" dxfId="307" priority="241" operator="containsText" text="Functioning">
      <formula>NOT(ISERROR(SEARCH("Functioning",E260)))</formula>
    </cfRule>
  </conditionalFormatting>
  <conditionalFormatting sqref="E261">
    <cfRule type="beginsWith" dxfId="306" priority="245" stopIfTrue="1" operator="beginsWith" text="Functioning At Risk">
      <formula>LEFT(E261,LEN("Functioning At Risk"))="Functioning At Risk"</formula>
    </cfRule>
    <cfRule type="beginsWith" dxfId="305" priority="246" stopIfTrue="1" operator="beginsWith" text="Not Functioning">
      <formula>LEFT(E261,LEN("Not Functioning"))="Not Functioning"</formula>
    </cfRule>
    <cfRule type="containsText" dxfId="304" priority="247" operator="containsText" text="Functioning">
      <formula>NOT(ISERROR(SEARCH("Functioning",E261)))</formula>
    </cfRule>
  </conditionalFormatting>
  <conditionalFormatting sqref="F297 F306 F285:F286">
    <cfRule type="beginsWith" dxfId="303" priority="236" stopIfTrue="1" operator="beginsWith" text="Functioning At Risk">
      <formula>LEFT(F285,LEN("Functioning At Risk"))="Functioning At Risk"</formula>
    </cfRule>
    <cfRule type="beginsWith" dxfId="302" priority="237" stopIfTrue="1" operator="beginsWith" text="Not Functioning">
      <formula>LEFT(F285,LEN("Not Functioning"))="Not Functioning"</formula>
    </cfRule>
    <cfRule type="containsText" dxfId="301" priority="238" operator="containsText" text="Functioning">
      <formula>NOT(ISERROR(SEARCH("Functioning",F285)))</formula>
    </cfRule>
  </conditionalFormatting>
  <conditionalFormatting sqref="F304:F305">
    <cfRule type="beginsWith" dxfId="300" priority="233" stopIfTrue="1" operator="beginsWith" text="Functioning At Risk">
      <formula>LEFT(F304,LEN("Functioning At Risk"))="Functioning At Risk"</formula>
    </cfRule>
    <cfRule type="beginsWith" dxfId="299" priority="234" stopIfTrue="1" operator="beginsWith" text="Not Functioning">
      <formula>LEFT(F304,LEN("Not Functioning"))="Not Functioning"</formula>
    </cfRule>
    <cfRule type="containsText" dxfId="298" priority="235" operator="containsText" text="Functioning">
      <formula>NOT(ISERROR(SEARCH("Functioning",F304)))</formula>
    </cfRule>
  </conditionalFormatting>
  <conditionalFormatting sqref="F287">
    <cfRule type="beginsWith" dxfId="297" priority="230" stopIfTrue="1" operator="beginsWith" text="Functioning At Risk">
      <formula>LEFT(F287,LEN("Functioning At Risk"))="Functioning At Risk"</formula>
    </cfRule>
    <cfRule type="beginsWith" dxfId="296" priority="231" stopIfTrue="1" operator="beginsWith" text="Not Functioning">
      <formula>LEFT(F287,LEN("Not Functioning"))="Not Functioning"</formula>
    </cfRule>
    <cfRule type="containsText" dxfId="295" priority="232" operator="containsText" text="Functioning">
      <formula>NOT(ISERROR(SEARCH("Functioning",F287)))</formula>
    </cfRule>
  </conditionalFormatting>
  <conditionalFormatting sqref="E297:E300">
    <cfRule type="beginsWith" dxfId="294" priority="227" stopIfTrue="1" operator="beginsWith" text="Functioning At Risk">
      <formula>LEFT(E297,LEN("Functioning At Risk"))="Functioning At Risk"</formula>
    </cfRule>
    <cfRule type="beginsWith" dxfId="293" priority="228" stopIfTrue="1" operator="beginsWith" text="Not Functioning">
      <formula>LEFT(E297,LEN("Not Functioning"))="Not Functioning"</formula>
    </cfRule>
    <cfRule type="containsText" dxfId="292" priority="229" operator="containsText" text="Functioning">
      <formula>NOT(ISERROR(SEARCH("Functioning",E297)))</formula>
    </cfRule>
  </conditionalFormatting>
  <conditionalFormatting sqref="E285:E286 E291:E293">
    <cfRule type="beginsWith" dxfId="291" priority="224" stopIfTrue="1" operator="beginsWith" text="Functioning At Risk">
      <formula>LEFT(E285,LEN("Functioning At Risk"))="Functioning At Risk"</formula>
    </cfRule>
    <cfRule type="beginsWith" dxfId="290" priority="225" stopIfTrue="1" operator="beginsWith" text="Not Functioning">
      <formula>LEFT(E285,LEN("Not Functioning"))="Not Functioning"</formula>
    </cfRule>
    <cfRule type="containsText" dxfId="289" priority="226" operator="containsText" text="Functioning">
      <formula>NOT(ISERROR(SEARCH("Functioning",E285)))</formula>
    </cfRule>
  </conditionalFormatting>
  <conditionalFormatting sqref="E306">
    <cfRule type="beginsWith" dxfId="288" priority="221" stopIfTrue="1" operator="beginsWith" text="Functioning At Risk">
      <formula>LEFT(E306,LEN("Functioning At Risk"))="Functioning At Risk"</formula>
    </cfRule>
    <cfRule type="beginsWith" dxfId="287" priority="222" stopIfTrue="1" operator="beginsWith" text="Not Functioning">
      <formula>LEFT(E306,LEN("Not Functioning"))="Not Functioning"</formula>
    </cfRule>
    <cfRule type="containsText" dxfId="286" priority="223" operator="containsText" text="Functioning">
      <formula>NOT(ISERROR(SEARCH("Functioning",E306)))</formula>
    </cfRule>
  </conditionalFormatting>
  <conditionalFormatting sqref="E300">
    <cfRule type="expression" dxfId="285" priority="216">
      <formula>B167="Level 4 - Physicochemical"</formula>
    </cfRule>
    <cfRule type="expression" dxfId="284" priority="220">
      <formula>B167="Level 5 - Biology"</formula>
    </cfRule>
  </conditionalFormatting>
  <conditionalFormatting sqref="E302">
    <cfRule type="expression" dxfId="283" priority="215">
      <formula>B167="Level 4 - Physicochemical"</formula>
    </cfRule>
    <cfRule type="expression" dxfId="282" priority="219">
      <formula>B167="Level 5 - Biology"</formula>
    </cfRule>
  </conditionalFormatting>
  <conditionalFormatting sqref="E303">
    <cfRule type="expression" dxfId="281" priority="214">
      <formula>B167="Level 4 - Physicochemical"</formula>
    </cfRule>
    <cfRule type="expression" dxfId="280" priority="218">
      <formula>B167="Level 5 - Biology"</formula>
    </cfRule>
  </conditionalFormatting>
  <conditionalFormatting sqref="E306">
    <cfRule type="expression" dxfId="279" priority="217">
      <formula>B167="Level 5 - Biology"</formula>
    </cfRule>
  </conditionalFormatting>
  <conditionalFormatting sqref="E301">
    <cfRule type="expression" dxfId="278" priority="209">
      <formula>B167="Level 5 - Biology"</formula>
    </cfRule>
    <cfRule type="expression" dxfId="277" priority="210">
      <formula>B167="Level 4 - Physicochemical"</formula>
    </cfRule>
    <cfRule type="beginsWith" dxfId="276" priority="211" stopIfTrue="1" operator="beginsWith" text="Functioning At Risk">
      <formula>LEFT(E301,LEN("Functioning At Risk"))="Functioning At Risk"</formula>
    </cfRule>
    <cfRule type="beginsWith" dxfId="275" priority="212" stopIfTrue="1" operator="beginsWith" text="Not Functioning">
      <formula>LEFT(E301,LEN("Not Functioning"))="Not Functioning"</formula>
    </cfRule>
    <cfRule type="containsText" dxfId="274" priority="213" operator="containsText" text="Functioning">
      <formula>NOT(ISERROR(SEARCH("Functioning",E301)))</formula>
    </cfRule>
  </conditionalFormatting>
  <conditionalFormatting sqref="E295">
    <cfRule type="beginsWith" dxfId="273" priority="206" stopIfTrue="1" operator="beginsWith" text="Functioning At Risk">
      <formula>LEFT(E295,LEN("Functioning At Risk"))="Functioning At Risk"</formula>
    </cfRule>
    <cfRule type="beginsWith" dxfId="272" priority="207" stopIfTrue="1" operator="beginsWith" text="Not Functioning">
      <formula>LEFT(E295,LEN("Not Functioning"))="Not Functioning"</formula>
    </cfRule>
    <cfRule type="containsText" dxfId="271" priority="208" operator="containsText" text="Functioning">
      <formula>NOT(ISERROR(SEARCH("Functioning",E295)))</formula>
    </cfRule>
  </conditionalFormatting>
  <conditionalFormatting sqref="E304:E305">
    <cfRule type="beginsWith" dxfId="270" priority="203" stopIfTrue="1" operator="beginsWith" text="Functioning At Risk">
      <formula>LEFT(E304,LEN("Functioning At Risk"))="Functioning At Risk"</formula>
    </cfRule>
    <cfRule type="beginsWith" dxfId="269" priority="204" stopIfTrue="1" operator="beginsWith" text="Not Functioning">
      <formula>LEFT(E304,LEN("Not Functioning"))="Not Functioning"</formula>
    </cfRule>
    <cfRule type="containsText" dxfId="268" priority="205" operator="containsText" text="Functioning">
      <formula>NOT(ISERROR(SEARCH("Functioning",E304)))</formula>
    </cfRule>
  </conditionalFormatting>
  <conditionalFormatting sqref="E304:E305">
    <cfRule type="expression" dxfId="267" priority="202">
      <formula>B168="Level 5 - Biology"</formula>
    </cfRule>
  </conditionalFormatting>
  <conditionalFormatting sqref="E287">
    <cfRule type="beginsWith" dxfId="266" priority="199" stopIfTrue="1" operator="beginsWith" text="Functioning At Risk">
      <formula>LEFT(E287,LEN("Functioning At Risk"))="Functioning At Risk"</formula>
    </cfRule>
    <cfRule type="beginsWith" dxfId="265" priority="200" stopIfTrue="1" operator="beginsWith" text="Not Functioning">
      <formula>LEFT(E287,LEN("Not Functioning"))="Not Functioning"</formula>
    </cfRule>
    <cfRule type="containsText" dxfId="264" priority="201" operator="containsText" text="Functioning">
      <formula>NOT(ISERROR(SEARCH("Functioning",E287)))</formula>
    </cfRule>
  </conditionalFormatting>
  <conditionalFormatting sqref="E290">
    <cfRule type="beginsWith" dxfId="263" priority="193" stopIfTrue="1" operator="beginsWith" text="Functioning At Risk">
      <formula>LEFT(E290,LEN("Functioning At Risk"))="Functioning At Risk"</formula>
    </cfRule>
    <cfRule type="beginsWith" dxfId="262" priority="194" stopIfTrue="1" operator="beginsWith" text="Not Functioning">
      <formula>LEFT(E290,LEN("Not Functioning"))="Not Functioning"</formula>
    </cfRule>
    <cfRule type="containsText" dxfId="261" priority="195" operator="containsText" text="Functioning">
      <formula>NOT(ISERROR(SEARCH("Functioning",E290)))</formula>
    </cfRule>
  </conditionalFormatting>
  <conditionalFormatting sqref="E288">
    <cfRule type="beginsWith" dxfId="260" priority="190" stopIfTrue="1" operator="beginsWith" text="Functioning At Risk">
      <formula>LEFT(E288,LEN("Functioning At Risk"))="Functioning At Risk"</formula>
    </cfRule>
    <cfRule type="beginsWith" dxfId="259" priority="191" stopIfTrue="1" operator="beginsWith" text="Not Functioning">
      <formula>LEFT(E288,LEN("Not Functioning"))="Not Functioning"</formula>
    </cfRule>
    <cfRule type="containsText" dxfId="258" priority="192" operator="containsText" text="Functioning">
      <formula>NOT(ISERROR(SEARCH("Functioning",E288)))</formula>
    </cfRule>
  </conditionalFormatting>
  <conditionalFormatting sqref="E289">
    <cfRule type="beginsWith" dxfId="257" priority="196" stopIfTrue="1" operator="beginsWith" text="Functioning At Risk">
      <formula>LEFT(E289,LEN("Functioning At Risk"))="Functioning At Risk"</formula>
    </cfRule>
    <cfRule type="beginsWith" dxfId="256" priority="197" stopIfTrue="1" operator="beginsWith" text="Not Functioning">
      <formula>LEFT(E289,LEN("Not Functioning"))="Not Functioning"</formula>
    </cfRule>
    <cfRule type="containsText" dxfId="255" priority="198" operator="containsText" text="Functioning">
      <formula>NOT(ISERROR(SEARCH("Functioning",E289)))</formula>
    </cfRule>
  </conditionalFormatting>
  <conditionalFormatting sqref="E44">
    <cfRule type="beginsWith" dxfId="254" priority="187" stopIfTrue="1" operator="beginsWith" text="Functioning At Risk">
      <formula>LEFT(E44,LEN("Functioning At Risk"))="Functioning At Risk"</formula>
    </cfRule>
    <cfRule type="beginsWith" dxfId="253" priority="188" stopIfTrue="1" operator="beginsWith" text="Not Functioning">
      <formula>LEFT(E44,LEN("Not Functioning"))="Not Functioning"</formula>
    </cfRule>
    <cfRule type="containsText" dxfId="252" priority="189" operator="containsText" text="Functioning">
      <formula>NOT(ISERROR(SEARCH("Functioning",E44)))</formula>
    </cfRule>
  </conditionalFormatting>
  <conditionalFormatting sqref="E72">
    <cfRule type="beginsWith" dxfId="251" priority="184" stopIfTrue="1" operator="beginsWith" text="Functioning At Risk">
      <formula>LEFT(E72,LEN("Functioning At Risk"))="Functioning At Risk"</formula>
    </cfRule>
    <cfRule type="beginsWith" dxfId="250" priority="185" stopIfTrue="1" operator="beginsWith" text="Not Functioning">
      <formula>LEFT(E72,LEN("Not Functioning"))="Not Functioning"</formula>
    </cfRule>
    <cfRule type="containsText" dxfId="249" priority="186" operator="containsText" text="Functioning">
      <formula>NOT(ISERROR(SEARCH("Functioning",E72)))</formula>
    </cfRule>
  </conditionalFormatting>
  <conditionalFormatting sqref="E100">
    <cfRule type="beginsWith" dxfId="248" priority="181" stopIfTrue="1" operator="beginsWith" text="Functioning At Risk">
      <formula>LEFT(E100,LEN("Functioning At Risk"))="Functioning At Risk"</formula>
    </cfRule>
    <cfRule type="beginsWith" dxfId="247" priority="182" stopIfTrue="1" operator="beginsWith" text="Not Functioning">
      <formula>LEFT(E100,LEN("Not Functioning"))="Not Functioning"</formula>
    </cfRule>
    <cfRule type="containsText" dxfId="246" priority="183" operator="containsText" text="Functioning">
      <formula>NOT(ISERROR(SEARCH("Functioning",E100)))</formula>
    </cfRule>
  </conditionalFormatting>
  <conditionalFormatting sqref="E128">
    <cfRule type="beginsWith" dxfId="245" priority="178" stopIfTrue="1" operator="beginsWith" text="Functioning At Risk">
      <formula>LEFT(E128,LEN("Functioning At Risk"))="Functioning At Risk"</formula>
    </cfRule>
    <cfRule type="beginsWith" dxfId="244" priority="179" stopIfTrue="1" operator="beginsWith" text="Not Functioning">
      <formula>LEFT(E128,LEN("Not Functioning"))="Not Functioning"</formula>
    </cfRule>
    <cfRule type="containsText" dxfId="243" priority="180" operator="containsText" text="Functioning">
      <formula>NOT(ISERROR(SEARCH("Functioning",E128)))</formula>
    </cfRule>
  </conditionalFormatting>
  <conditionalFormatting sqref="E156">
    <cfRule type="beginsWith" dxfId="242" priority="175" stopIfTrue="1" operator="beginsWith" text="Functioning At Risk">
      <formula>LEFT(E156,LEN("Functioning At Risk"))="Functioning At Risk"</formula>
    </cfRule>
    <cfRule type="beginsWith" dxfId="241" priority="176" stopIfTrue="1" operator="beginsWith" text="Not Functioning">
      <formula>LEFT(E156,LEN("Not Functioning"))="Not Functioning"</formula>
    </cfRule>
    <cfRule type="containsText" dxfId="240" priority="177" operator="containsText" text="Functioning">
      <formula>NOT(ISERROR(SEARCH("Functioning",E156)))</formula>
    </cfRule>
  </conditionalFormatting>
  <conditionalFormatting sqref="E184">
    <cfRule type="beginsWith" dxfId="239" priority="172" stopIfTrue="1" operator="beginsWith" text="Functioning At Risk">
      <formula>LEFT(E184,LEN("Functioning At Risk"))="Functioning At Risk"</formula>
    </cfRule>
    <cfRule type="beginsWith" dxfId="238" priority="173" stopIfTrue="1" operator="beginsWith" text="Not Functioning">
      <formula>LEFT(E184,LEN("Not Functioning"))="Not Functioning"</formula>
    </cfRule>
    <cfRule type="containsText" dxfId="237" priority="174" operator="containsText" text="Functioning">
      <formula>NOT(ISERROR(SEARCH("Functioning",E184)))</formula>
    </cfRule>
  </conditionalFormatting>
  <conditionalFormatting sqref="E212">
    <cfRule type="beginsWith" dxfId="236" priority="169" stopIfTrue="1" operator="beginsWith" text="Functioning At Risk">
      <formula>LEFT(E212,LEN("Functioning At Risk"))="Functioning At Risk"</formula>
    </cfRule>
    <cfRule type="beginsWith" dxfId="235" priority="170" stopIfTrue="1" operator="beginsWith" text="Not Functioning">
      <formula>LEFT(E212,LEN("Not Functioning"))="Not Functioning"</formula>
    </cfRule>
    <cfRule type="containsText" dxfId="234" priority="171" operator="containsText" text="Functioning">
      <formula>NOT(ISERROR(SEARCH("Functioning",E212)))</formula>
    </cfRule>
  </conditionalFormatting>
  <conditionalFormatting sqref="E240">
    <cfRule type="beginsWith" dxfId="233" priority="166" stopIfTrue="1" operator="beginsWith" text="Functioning At Risk">
      <formula>LEFT(E240,LEN("Functioning At Risk"))="Functioning At Risk"</formula>
    </cfRule>
    <cfRule type="beginsWith" dxfId="232" priority="167" stopIfTrue="1" operator="beginsWith" text="Not Functioning">
      <formula>LEFT(E240,LEN("Not Functioning"))="Not Functioning"</formula>
    </cfRule>
    <cfRule type="containsText" dxfId="231" priority="168" operator="containsText" text="Functioning">
      <formula>NOT(ISERROR(SEARCH("Functioning",E240)))</formula>
    </cfRule>
  </conditionalFormatting>
  <conditionalFormatting sqref="E268">
    <cfRule type="beginsWith" dxfId="230" priority="163" stopIfTrue="1" operator="beginsWith" text="Functioning At Risk">
      <formula>LEFT(E268,LEN("Functioning At Risk"))="Functioning At Risk"</formula>
    </cfRule>
    <cfRule type="beginsWith" dxfId="229" priority="164" stopIfTrue="1" operator="beginsWith" text="Not Functioning">
      <formula>LEFT(E268,LEN("Not Functioning"))="Not Functioning"</formula>
    </cfRule>
    <cfRule type="containsText" dxfId="228" priority="165" operator="containsText" text="Functioning">
      <formula>NOT(ISERROR(SEARCH("Functioning",E268)))</formula>
    </cfRule>
  </conditionalFormatting>
  <conditionalFormatting sqref="E296">
    <cfRule type="beginsWith" dxfId="227" priority="160" stopIfTrue="1" operator="beginsWith" text="Functioning At Risk">
      <formula>LEFT(E296,LEN("Functioning At Risk"))="Functioning At Risk"</formula>
    </cfRule>
    <cfRule type="beginsWith" dxfId="226" priority="161" stopIfTrue="1" operator="beginsWith" text="Not Functioning">
      <formula>LEFT(E296,LEN("Not Functioning"))="Not Functioning"</formula>
    </cfRule>
    <cfRule type="containsText" dxfId="225" priority="162" operator="containsText" text="Functioning">
      <formula>NOT(ISERROR(SEARCH("Functioning",E296)))</formula>
    </cfRule>
  </conditionalFormatting>
  <conditionalFormatting sqref="C20 C26 C24">
    <cfRule type="beginsWith" dxfId="224" priority="157" stopIfTrue="1" operator="beginsWith" text="Functioning At Risk">
      <formula>LEFT(C20,LEN("Functioning At Risk"))="Functioning At Risk"</formula>
    </cfRule>
    <cfRule type="beginsWith" dxfId="223" priority="158" stopIfTrue="1" operator="beginsWith" text="Not Functioning">
      <formula>LEFT(C20,LEN("Not Functioning"))="Not Functioning"</formula>
    </cfRule>
    <cfRule type="containsText" dxfId="222" priority="159" operator="containsText" text="Functioning">
      <formula>NOT(ISERROR(SEARCH("Functioning",C20)))</formula>
    </cfRule>
  </conditionalFormatting>
  <conditionalFormatting sqref="C25">
    <cfRule type="beginsWith" dxfId="221" priority="154" stopIfTrue="1" operator="beginsWith" text="Functioning At Risk">
      <formula>LEFT(C25,LEN("Functioning At Risk"))="Functioning At Risk"</formula>
    </cfRule>
    <cfRule type="beginsWith" dxfId="220" priority="155" stopIfTrue="1" operator="beginsWith" text="Not Functioning">
      <formula>LEFT(C25,LEN("Not Functioning"))="Not Functioning"</formula>
    </cfRule>
    <cfRule type="containsText" dxfId="219" priority="156" operator="containsText" text="Functioning">
      <formula>NOT(ISERROR(SEARCH("Functioning",C25)))</formula>
    </cfRule>
  </conditionalFormatting>
  <conditionalFormatting sqref="C22">
    <cfRule type="beginsWith" dxfId="218" priority="151" stopIfTrue="1" operator="beginsWith" text="Functioning At Risk">
      <formula>LEFT(C22,LEN("Functioning At Risk"))="Functioning At Risk"</formula>
    </cfRule>
    <cfRule type="beginsWith" dxfId="217" priority="152" stopIfTrue="1" operator="beginsWith" text="Not Functioning">
      <formula>LEFT(C22,LEN("Not Functioning"))="Not Functioning"</formula>
    </cfRule>
    <cfRule type="containsText" dxfId="216" priority="153" operator="containsText" text="Functioning">
      <formula>NOT(ISERROR(SEARCH("Functioning",C22)))</formula>
    </cfRule>
  </conditionalFormatting>
  <conditionalFormatting sqref="C48 C54 C52">
    <cfRule type="beginsWith" dxfId="215" priority="148" stopIfTrue="1" operator="beginsWith" text="Functioning At Risk">
      <formula>LEFT(C48,LEN("Functioning At Risk"))="Functioning At Risk"</formula>
    </cfRule>
    <cfRule type="beginsWith" dxfId="214" priority="149" stopIfTrue="1" operator="beginsWith" text="Not Functioning">
      <formula>LEFT(C48,LEN("Not Functioning"))="Not Functioning"</formula>
    </cfRule>
    <cfRule type="containsText" dxfId="213" priority="150" operator="containsText" text="Functioning">
      <formula>NOT(ISERROR(SEARCH("Functioning",C48)))</formula>
    </cfRule>
  </conditionalFormatting>
  <conditionalFormatting sqref="C53">
    <cfRule type="beginsWith" dxfId="212" priority="145" stopIfTrue="1" operator="beginsWith" text="Functioning At Risk">
      <formula>LEFT(C53,LEN("Functioning At Risk"))="Functioning At Risk"</formula>
    </cfRule>
    <cfRule type="beginsWith" dxfId="211" priority="146" stopIfTrue="1" operator="beginsWith" text="Not Functioning">
      <formula>LEFT(C53,LEN("Not Functioning"))="Not Functioning"</formula>
    </cfRule>
    <cfRule type="containsText" dxfId="210" priority="147" operator="containsText" text="Functioning">
      <formula>NOT(ISERROR(SEARCH("Functioning",C53)))</formula>
    </cfRule>
  </conditionalFormatting>
  <conditionalFormatting sqref="C50">
    <cfRule type="beginsWith" dxfId="209" priority="142" stopIfTrue="1" operator="beginsWith" text="Functioning At Risk">
      <formula>LEFT(C50,LEN("Functioning At Risk"))="Functioning At Risk"</formula>
    </cfRule>
    <cfRule type="beginsWith" dxfId="208" priority="143" stopIfTrue="1" operator="beginsWith" text="Not Functioning">
      <formula>LEFT(C50,LEN("Not Functioning"))="Not Functioning"</formula>
    </cfRule>
    <cfRule type="containsText" dxfId="207" priority="144" operator="containsText" text="Functioning">
      <formula>NOT(ISERROR(SEARCH("Functioning",C50)))</formula>
    </cfRule>
  </conditionalFormatting>
  <conditionalFormatting sqref="C76 C82 C80">
    <cfRule type="beginsWith" dxfId="206" priority="139" stopIfTrue="1" operator="beginsWith" text="Functioning At Risk">
      <formula>LEFT(C76,LEN("Functioning At Risk"))="Functioning At Risk"</formula>
    </cfRule>
    <cfRule type="beginsWith" dxfId="205" priority="140" stopIfTrue="1" operator="beginsWith" text="Not Functioning">
      <formula>LEFT(C76,LEN("Not Functioning"))="Not Functioning"</formula>
    </cfRule>
    <cfRule type="containsText" dxfId="204" priority="141" operator="containsText" text="Functioning">
      <formula>NOT(ISERROR(SEARCH("Functioning",C76)))</formula>
    </cfRule>
  </conditionalFormatting>
  <conditionalFormatting sqref="C81">
    <cfRule type="beginsWith" dxfId="203" priority="136" stopIfTrue="1" operator="beginsWith" text="Functioning At Risk">
      <formula>LEFT(C81,LEN("Functioning At Risk"))="Functioning At Risk"</formula>
    </cfRule>
    <cfRule type="beginsWith" dxfId="202" priority="137" stopIfTrue="1" operator="beginsWith" text="Not Functioning">
      <formula>LEFT(C81,LEN("Not Functioning"))="Not Functioning"</formula>
    </cfRule>
    <cfRule type="containsText" dxfId="201" priority="138" operator="containsText" text="Functioning">
      <formula>NOT(ISERROR(SEARCH("Functioning",C81)))</formula>
    </cfRule>
  </conditionalFormatting>
  <conditionalFormatting sqref="C78">
    <cfRule type="beginsWith" dxfId="200" priority="133" stopIfTrue="1" operator="beginsWith" text="Functioning At Risk">
      <formula>LEFT(C78,LEN("Functioning At Risk"))="Functioning At Risk"</formula>
    </cfRule>
    <cfRule type="beginsWith" dxfId="199" priority="134" stopIfTrue="1" operator="beginsWith" text="Not Functioning">
      <formula>LEFT(C78,LEN("Not Functioning"))="Not Functioning"</formula>
    </cfRule>
    <cfRule type="containsText" dxfId="198" priority="135" operator="containsText" text="Functioning">
      <formula>NOT(ISERROR(SEARCH("Functioning",C78)))</formula>
    </cfRule>
  </conditionalFormatting>
  <conditionalFormatting sqref="C104 C110 C108">
    <cfRule type="beginsWith" dxfId="197" priority="130" stopIfTrue="1" operator="beginsWith" text="Functioning At Risk">
      <formula>LEFT(C104,LEN("Functioning At Risk"))="Functioning At Risk"</formula>
    </cfRule>
    <cfRule type="beginsWith" dxfId="196" priority="131" stopIfTrue="1" operator="beginsWith" text="Not Functioning">
      <formula>LEFT(C104,LEN("Not Functioning"))="Not Functioning"</formula>
    </cfRule>
    <cfRule type="containsText" dxfId="195" priority="132" operator="containsText" text="Functioning">
      <formula>NOT(ISERROR(SEARCH("Functioning",C104)))</formula>
    </cfRule>
  </conditionalFormatting>
  <conditionalFormatting sqref="C109">
    <cfRule type="beginsWith" dxfId="194" priority="127" stopIfTrue="1" operator="beginsWith" text="Functioning At Risk">
      <formula>LEFT(C109,LEN("Functioning At Risk"))="Functioning At Risk"</formula>
    </cfRule>
    <cfRule type="beginsWith" dxfId="193" priority="128" stopIfTrue="1" operator="beginsWith" text="Not Functioning">
      <formula>LEFT(C109,LEN("Not Functioning"))="Not Functioning"</formula>
    </cfRule>
    <cfRule type="containsText" dxfId="192" priority="129" operator="containsText" text="Functioning">
      <formula>NOT(ISERROR(SEARCH("Functioning",C109)))</formula>
    </cfRule>
  </conditionalFormatting>
  <conditionalFormatting sqref="C106">
    <cfRule type="beginsWith" dxfId="191" priority="124" stopIfTrue="1" operator="beginsWith" text="Functioning At Risk">
      <formula>LEFT(C106,LEN("Functioning At Risk"))="Functioning At Risk"</formula>
    </cfRule>
    <cfRule type="beginsWith" dxfId="190" priority="125" stopIfTrue="1" operator="beginsWith" text="Not Functioning">
      <formula>LEFT(C106,LEN("Not Functioning"))="Not Functioning"</formula>
    </cfRule>
    <cfRule type="containsText" dxfId="189" priority="126" operator="containsText" text="Functioning">
      <formula>NOT(ISERROR(SEARCH("Functioning",C106)))</formula>
    </cfRule>
  </conditionalFormatting>
  <conditionalFormatting sqref="C132 C138 C136">
    <cfRule type="beginsWith" dxfId="188" priority="121" stopIfTrue="1" operator="beginsWith" text="Functioning At Risk">
      <formula>LEFT(C132,LEN("Functioning At Risk"))="Functioning At Risk"</formula>
    </cfRule>
    <cfRule type="beginsWith" dxfId="187" priority="122" stopIfTrue="1" operator="beginsWith" text="Not Functioning">
      <formula>LEFT(C132,LEN("Not Functioning"))="Not Functioning"</formula>
    </cfRule>
    <cfRule type="containsText" dxfId="186" priority="123" operator="containsText" text="Functioning">
      <formula>NOT(ISERROR(SEARCH("Functioning",C132)))</formula>
    </cfRule>
  </conditionalFormatting>
  <conditionalFormatting sqref="C137">
    <cfRule type="beginsWith" dxfId="185" priority="118" stopIfTrue="1" operator="beginsWith" text="Functioning At Risk">
      <formula>LEFT(C137,LEN("Functioning At Risk"))="Functioning At Risk"</formula>
    </cfRule>
    <cfRule type="beginsWith" dxfId="184" priority="119" stopIfTrue="1" operator="beginsWith" text="Not Functioning">
      <formula>LEFT(C137,LEN("Not Functioning"))="Not Functioning"</formula>
    </cfRule>
    <cfRule type="containsText" dxfId="183" priority="120" operator="containsText" text="Functioning">
      <formula>NOT(ISERROR(SEARCH("Functioning",C137)))</formula>
    </cfRule>
  </conditionalFormatting>
  <conditionalFormatting sqref="C134">
    <cfRule type="beginsWith" dxfId="182" priority="115" stopIfTrue="1" operator="beginsWith" text="Functioning At Risk">
      <formula>LEFT(C134,LEN("Functioning At Risk"))="Functioning At Risk"</formula>
    </cfRule>
    <cfRule type="beginsWith" dxfId="181" priority="116" stopIfTrue="1" operator="beginsWith" text="Not Functioning">
      <formula>LEFT(C134,LEN("Not Functioning"))="Not Functioning"</formula>
    </cfRule>
    <cfRule type="containsText" dxfId="180" priority="117" operator="containsText" text="Functioning">
      <formula>NOT(ISERROR(SEARCH("Functioning",C134)))</formula>
    </cfRule>
  </conditionalFormatting>
  <conditionalFormatting sqref="C160 C166 C164">
    <cfRule type="beginsWith" dxfId="179" priority="112" stopIfTrue="1" operator="beginsWith" text="Functioning At Risk">
      <formula>LEFT(C160,LEN("Functioning At Risk"))="Functioning At Risk"</formula>
    </cfRule>
    <cfRule type="beginsWith" dxfId="178" priority="113" stopIfTrue="1" operator="beginsWith" text="Not Functioning">
      <formula>LEFT(C160,LEN("Not Functioning"))="Not Functioning"</formula>
    </cfRule>
    <cfRule type="containsText" dxfId="177" priority="114" operator="containsText" text="Functioning">
      <formula>NOT(ISERROR(SEARCH("Functioning",C160)))</formula>
    </cfRule>
  </conditionalFormatting>
  <conditionalFormatting sqref="C165">
    <cfRule type="beginsWith" dxfId="176" priority="109" stopIfTrue="1" operator="beginsWith" text="Functioning At Risk">
      <formula>LEFT(C165,LEN("Functioning At Risk"))="Functioning At Risk"</formula>
    </cfRule>
    <cfRule type="beginsWith" dxfId="175" priority="110" stopIfTrue="1" operator="beginsWith" text="Not Functioning">
      <formula>LEFT(C165,LEN("Not Functioning"))="Not Functioning"</formula>
    </cfRule>
    <cfRule type="containsText" dxfId="174" priority="111" operator="containsText" text="Functioning">
      <formula>NOT(ISERROR(SEARCH("Functioning",C165)))</formula>
    </cfRule>
  </conditionalFormatting>
  <conditionalFormatting sqref="C162">
    <cfRule type="beginsWith" dxfId="173" priority="106" stopIfTrue="1" operator="beginsWith" text="Functioning At Risk">
      <formula>LEFT(C162,LEN("Functioning At Risk"))="Functioning At Risk"</formula>
    </cfRule>
    <cfRule type="beginsWith" dxfId="172" priority="107" stopIfTrue="1" operator="beginsWith" text="Not Functioning">
      <formula>LEFT(C162,LEN("Not Functioning"))="Not Functioning"</formula>
    </cfRule>
    <cfRule type="containsText" dxfId="171" priority="108" operator="containsText" text="Functioning">
      <formula>NOT(ISERROR(SEARCH("Functioning",C162)))</formula>
    </cfRule>
  </conditionalFormatting>
  <conditionalFormatting sqref="C188 C194 C192">
    <cfRule type="beginsWith" dxfId="170" priority="103" stopIfTrue="1" operator="beginsWith" text="Functioning At Risk">
      <formula>LEFT(C188,LEN("Functioning At Risk"))="Functioning At Risk"</formula>
    </cfRule>
    <cfRule type="beginsWith" dxfId="169" priority="104" stopIfTrue="1" operator="beginsWith" text="Not Functioning">
      <formula>LEFT(C188,LEN("Not Functioning"))="Not Functioning"</formula>
    </cfRule>
    <cfRule type="containsText" dxfId="168" priority="105" operator="containsText" text="Functioning">
      <formula>NOT(ISERROR(SEARCH("Functioning",C188)))</formula>
    </cfRule>
  </conditionalFormatting>
  <conditionalFormatting sqref="C193">
    <cfRule type="beginsWith" dxfId="167" priority="100" stopIfTrue="1" operator="beginsWith" text="Functioning At Risk">
      <formula>LEFT(C193,LEN("Functioning At Risk"))="Functioning At Risk"</formula>
    </cfRule>
    <cfRule type="beginsWith" dxfId="166" priority="101" stopIfTrue="1" operator="beginsWith" text="Not Functioning">
      <formula>LEFT(C193,LEN("Not Functioning"))="Not Functioning"</formula>
    </cfRule>
    <cfRule type="containsText" dxfId="165" priority="102" operator="containsText" text="Functioning">
      <formula>NOT(ISERROR(SEARCH("Functioning",C193)))</formula>
    </cfRule>
  </conditionalFormatting>
  <conditionalFormatting sqref="C190">
    <cfRule type="beginsWith" dxfId="164" priority="97" stopIfTrue="1" operator="beginsWith" text="Functioning At Risk">
      <formula>LEFT(C190,LEN("Functioning At Risk"))="Functioning At Risk"</formula>
    </cfRule>
    <cfRule type="beginsWith" dxfId="163" priority="98" stopIfTrue="1" operator="beginsWith" text="Not Functioning">
      <formula>LEFT(C190,LEN("Not Functioning"))="Not Functioning"</formula>
    </cfRule>
    <cfRule type="containsText" dxfId="162" priority="99" operator="containsText" text="Functioning">
      <formula>NOT(ISERROR(SEARCH("Functioning",C190)))</formula>
    </cfRule>
  </conditionalFormatting>
  <conditionalFormatting sqref="C216 C222 C220">
    <cfRule type="beginsWith" dxfId="161" priority="94" stopIfTrue="1" operator="beginsWith" text="Functioning At Risk">
      <formula>LEFT(C216,LEN("Functioning At Risk"))="Functioning At Risk"</formula>
    </cfRule>
    <cfRule type="beginsWith" dxfId="160" priority="95" stopIfTrue="1" operator="beginsWith" text="Not Functioning">
      <formula>LEFT(C216,LEN("Not Functioning"))="Not Functioning"</formula>
    </cfRule>
    <cfRule type="containsText" dxfId="159" priority="96" operator="containsText" text="Functioning">
      <formula>NOT(ISERROR(SEARCH("Functioning",C216)))</formula>
    </cfRule>
  </conditionalFormatting>
  <conditionalFormatting sqref="C221">
    <cfRule type="beginsWith" dxfId="158" priority="91" stopIfTrue="1" operator="beginsWith" text="Functioning At Risk">
      <formula>LEFT(C221,LEN("Functioning At Risk"))="Functioning At Risk"</formula>
    </cfRule>
    <cfRule type="beginsWith" dxfId="157" priority="92" stopIfTrue="1" operator="beginsWith" text="Not Functioning">
      <formula>LEFT(C221,LEN("Not Functioning"))="Not Functioning"</formula>
    </cfRule>
    <cfRule type="containsText" dxfId="156" priority="93" operator="containsText" text="Functioning">
      <formula>NOT(ISERROR(SEARCH("Functioning",C221)))</formula>
    </cfRule>
  </conditionalFormatting>
  <conditionalFormatting sqref="C218">
    <cfRule type="beginsWith" dxfId="155" priority="88" stopIfTrue="1" operator="beginsWith" text="Functioning At Risk">
      <formula>LEFT(C218,LEN("Functioning At Risk"))="Functioning At Risk"</formula>
    </cfRule>
    <cfRule type="beginsWith" dxfId="154" priority="89" stopIfTrue="1" operator="beginsWith" text="Not Functioning">
      <formula>LEFT(C218,LEN("Not Functioning"))="Not Functioning"</formula>
    </cfRule>
    <cfRule type="containsText" dxfId="153" priority="90" operator="containsText" text="Functioning">
      <formula>NOT(ISERROR(SEARCH("Functioning",C218)))</formula>
    </cfRule>
  </conditionalFormatting>
  <conditionalFormatting sqref="C244 C250 C248">
    <cfRule type="beginsWith" dxfId="152" priority="85" stopIfTrue="1" operator="beginsWith" text="Functioning At Risk">
      <formula>LEFT(C244,LEN("Functioning At Risk"))="Functioning At Risk"</formula>
    </cfRule>
    <cfRule type="beginsWith" dxfId="151" priority="86" stopIfTrue="1" operator="beginsWith" text="Not Functioning">
      <formula>LEFT(C244,LEN("Not Functioning"))="Not Functioning"</formula>
    </cfRule>
    <cfRule type="containsText" dxfId="150" priority="87" operator="containsText" text="Functioning">
      <formula>NOT(ISERROR(SEARCH("Functioning",C244)))</formula>
    </cfRule>
  </conditionalFormatting>
  <conditionalFormatting sqref="C249">
    <cfRule type="beginsWith" dxfId="149" priority="82" stopIfTrue="1" operator="beginsWith" text="Functioning At Risk">
      <formula>LEFT(C249,LEN("Functioning At Risk"))="Functioning At Risk"</formula>
    </cfRule>
    <cfRule type="beginsWith" dxfId="148" priority="83" stopIfTrue="1" operator="beginsWith" text="Not Functioning">
      <formula>LEFT(C249,LEN("Not Functioning"))="Not Functioning"</formula>
    </cfRule>
    <cfRule type="containsText" dxfId="147" priority="84" operator="containsText" text="Functioning">
      <formula>NOT(ISERROR(SEARCH("Functioning",C249)))</formula>
    </cfRule>
  </conditionalFormatting>
  <conditionalFormatting sqref="C246">
    <cfRule type="beginsWith" dxfId="146" priority="79" stopIfTrue="1" operator="beginsWith" text="Functioning At Risk">
      <formula>LEFT(C246,LEN("Functioning At Risk"))="Functioning At Risk"</formula>
    </cfRule>
    <cfRule type="beginsWith" dxfId="145" priority="80" stopIfTrue="1" operator="beginsWith" text="Not Functioning">
      <formula>LEFT(C246,LEN("Not Functioning"))="Not Functioning"</formula>
    </cfRule>
    <cfRule type="containsText" dxfId="144" priority="81" operator="containsText" text="Functioning">
      <formula>NOT(ISERROR(SEARCH("Functioning",C246)))</formula>
    </cfRule>
  </conditionalFormatting>
  <conditionalFormatting sqref="C272 C278 C276">
    <cfRule type="beginsWith" dxfId="143" priority="76" stopIfTrue="1" operator="beginsWith" text="Functioning At Risk">
      <formula>LEFT(C272,LEN("Functioning At Risk"))="Functioning At Risk"</formula>
    </cfRule>
    <cfRule type="beginsWith" dxfId="142" priority="77" stopIfTrue="1" operator="beginsWith" text="Not Functioning">
      <formula>LEFT(C272,LEN("Not Functioning"))="Not Functioning"</formula>
    </cfRule>
    <cfRule type="containsText" dxfId="141" priority="78" operator="containsText" text="Functioning">
      <formula>NOT(ISERROR(SEARCH("Functioning",C272)))</formula>
    </cfRule>
  </conditionalFormatting>
  <conditionalFormatting sqref="C277">
    <cfRule type="beginsWith" dxfId="140" priority="73" stopIfTrue="1" operator="beginsWith" text="Functioning At Risk">
      <formula>LEFT(C277,LEN("Functioning At Risk"))="Functioning At Risk"</formula>
    </cfRule>
    <cfRule type="beginsWith" dxfId="139" priority="74" stopIfTrue="1" operator="beginsWith" text="Not Functioning">
      <formula>LEFT(C277,LEN("Not Functioning"))="Not Functioning"</formula>
    </cfRule>
    <cfRule type="containsText" dxfId="138" priority="75" operator="containsText" text="Functioning">
      <formula>NOT(ISERROR(SEARCH("Functioning",C277)))</formula>
    </cfRule>
  </conditionalFormatting>
  <conditionalFormatting sqref="C274">
    <cfRule type="beginsWith" dxfId="137" priority="70" stopIfTrue="1" operator="beginsWith" text="Functioning At Risk">
      <formula>LEFT(C274,LEN("Functioning At Risk"))="Functioning At Risk"</formula>
    </cfRule>
    <cfRule type="beginsWith" dxfId="136" priority="71" stopIfTrue="1" operator="beginsWith" text="Not Functioning">
      <formula>LEFT(C274,LEN("Not Functioning"))="Not Functioning"</formula>
    </cfRule>
    <cfRule type="containsText" dxfId="135" priority="72" operator="containsText" text="Functioning">
      <formula>NOT(ISERROR(SEARCH("Functioning",C274)))</formula>
    </cfRule>
  </conditionalFormatting>
  <conditionalFormatting sqref="C300 C306 C304">
    <cfRule type="beginsWith" dxfId="134" priority="67" stopIfTrue="1" operator="beginsWith" text="Functioning At Risk">
      <formula>LEFT(C300,LEN("Functioning At Risk"))="Functioning At Risk"</formula>
    </cfRule>
    <cfRule type="beginsWith" dxfId="133" priority="68" stopIfTrue="1" operator="beginsWith" text="Not Functioning">
      <formula>LEFT(C300,LEN("Not Functioning"))="Not Functioning"</formula>
    </cfRule>
    <cfRule type="containsText" dxfId="132" priority="69" operator="containsText" text="Functioning">
      <formula>NOT(ISERROR(SEARCH("Functioning",C300)))</formula>
    </cfRule>
  </conditionalFormatting>
  <conditionalFormatting sqref="C305">
    <cfRule type="beginsWith" dxfId="131" priority="64" stopIfTrue="1" operator="beginsWith" text="Functioning At Risk">
      <formula>LEFT(C305,LEN("Functioning At Risk"))="Functioning At Risk"</formula>
    </cfRule>
    <cfRule type="beginsWith" dxfId="130" priority="65" stopIfTrue="1" operator="beginsWith" text="Not Functioning">
      <formula>LEFT(C305,LEN("Not Functioning"))="Not Functioning"</formula>
    </cfRule>
    <cfRule type="containsText" dxfId="129" priority="66" operator="containsText" text="Functioning">
      <formula>NOT(ISERROR(SEARCH("Functioning",C305)))</formula>
    </cfRule>
  </conditionalFormatting>
  <conditionalFormatting sqref="C302">
    <cfRule type="beginsWith" dxfId="128" priority="61" stopIfTrue="1" operator="beginsWith" text="Functioning At Risk">
      <formula>LEFT(C302,LEN("Functioning At Risk"))="Functioning At Risk"</formula>
    </cfRule>
    <cfRule type="beginsWith" dxfId="127" priority="62" stopIfTrue="1" operator="beginsWith" text="Not Functioning">
      <formula>LEFT(C302,LEN("Not Functioning"))="Not Functioning"</formula>
    </cfRule>
    <cfRule type="containsText" dxfId="126" priority="63" operator="containsText" text="Functioning">
      <formula>NOT(ISERROR(SEARCH("Functioning",C302)))</formula>
    </cfRule>
  </conditionalFormatting>
  <conditionalFormatting sqref="C58">
    <cfRule type="beginsWith" dxfId="125" priority="58" stopIfTrue="1" operator="beginsWith" text="Functioning At Risk">
      <formula>LEFT(C58,LEN("Functioning At Risk"))="Functioning At Risk"</formula>
    </cfRule>
    <cfRule type="beginsWith" dxfId="124" priority="59" stopIfTrue="1" operator="beginsWith" text="Not Functioning">
      <formula>LEFT(C58,LEN("Not Functioning"))="Not Functioning"</formula>
    </cfRule>
    <cfRule type="containsText" dxfId="123" priority="60" operator="containsText" text="Functioning">
      <formula>NOT(ISERROR(SEARCH("Functioning",C58)))</formula>
    </cfRule>
  </conditionalFormatting>
  <conditionalFormatting sqref="C86">
    <cfRule type="beginsWith" dxfId="122" priority="55" stopIfTrue="1" operator="beginsWith" text="Functioning At Risk">
      <formula>LEFT(C86,LEN("Functioning At Risk"))="Functioning At Risk"</formula>
    </cfRule>
    <cfRule type="beginsWith" dxfId="121" priority="56" stopIfTrue="1" operator="beginsWith" text="Not Functioning">
      <formula>LEFT(C86,LEN("Not Functioning"))="Not Functioning"</formula>
    </cfRule>
    <cfRule type="containsText" dxfId="120" priority="57" operator="containsText" text="Functioning">
      <formula>NOT(ISERROR(SEARCH("Functioning",C86)))</formula>
    </cfRule>
  </conditionalFormatting>
  <conditionalFormatting sqref="C114">
    <cfRule type="beginsWith" dxfId="119" priority="52" stopIfTrue="1" operator="beginsWith" text="Functioning At Risk">
      <formula>LEFT(C114,LEN("Functioning At Risk"))="Functioning At Risk"</formula>
    </cfRule>
    <cfRule type="beginsWith" dxfId="118" priority="53" stopIfTrue="1" operator="beginsWith" text="Not Functioning">
      <formula>LEFT(C114,LEN("Not Functioning"))="Not Functioning"</formula>
    </cfRule>
    <cfRule type="containsText" dxfId="117" priority="54" operator="containsText" text="Functioning">
      <formula>NOT(ISERROR(SEARCH("Functioning",C114)))</formula>
    </cfRule>
  </conditionalFormatting>
  <conditionalFormatting sqref="C142">
    <cfRule type="beginsWith" dxfId="116" priority="49" stopIfTrue="1" operator="beginsWith" text="Functioning At Risk">
      <formula>LEFT(C142,LEN("Functioning At Risk"))="Functioning At Risk"</formula>
    </cfRule>
    <cfRule type="beginsWith" dxfId="115" priority="50" stopIfTrue="1" operator="beginsWith" text="Not Functioning">
      <formula>LEFT(C142,LEN("Not Functioning"))="Not Functioning"</formula>
    </cfRule>
    <cfRule type="containsText" dxfId="114" priority="51" operator="containsText" text="Functioning">
      <formula>NOT(ISERROR(SEARCH("Functioning",C142)))</formula>
    </cfRule>
  </conditionalFormatting>
  <conditionalFormatting sqref="C170">
    <cfRule type="beginsWith" dxfId="113" priority="46" stopIfTrue="1" operator="beginsWith" text="Functioning At Risk">
      <formula>LEFT(C170,LEN("Functioning At Risk"))="Functioning At Risk"</formula>
    </cfRule>
    <cfRule type="beginsWith" dxfId="112" priority="47" stopIfTrue="1" operator="beginsWith" text="Not Functioning">
      <formula>LEFT(C170,LEN("Not Functioning"))="Not Functioning"</formula>
    </cfRule>
    <cfRule type="containsText" dxfId="111" priority="48" operator="containsText" text="Functioning">
      <formula>NOT(ISERROR(SEARCH("Functioning",C170)))</formula>
    </cfRule>
  </conditionalFormatting>
  <conditionalFormatting sqref="C198">
    <cfRule type="beginsWith" dxfId="110" priority="43" stopIfTrue="1" operator="beginsWith" text="Functioning At Risk">
      <formula>LEFT(C198,LEN("Functioning At Risk"))="Functioning At Risk"</formula>
    </cfRule>
    <cfRule type="beginsWith" dxfId="109" priority="44" stopIfTrue="1" operator="beginsWith" text="Not Functioning">
      <formula>LEFT(C198,LEN("Not Functioning"))="Not Functioning"</formula>
    </cfRule>
    <cfRule type="containsText" dxfId="108" priority="45" operator="containsText" text="Functioning">
      <formula>NOT(ISERROR(SEARCH("Functioning",C198)))</formula>
    </cfRule>
  </conditionalFormatting>
  <conditionalFormatting sqref="C254">
    <cfRule type="beginsWith" dxfId="107" priority="40" stopIfTrue="1" operator="beginsWith" text="Functioning At Risk">
      <formula>LEFT(C254,LEN("Functioning At Risk"))="Functioning At Risk"</formula>
    </cfRule>
    <cfRule type="beginsWith" dxfId="106" priority="41" stopIfTrue="1" operator="beginsWith" text="Not Functioning">
      <formula>LEFT(C254,LEN("Not Functioning"))="Not Functioning"</formula>
    </cfRule>
    <cfRule type="containsText" dxfId="105" priority="42" operator="containsText" text="Functioning">
      <formula>NOT(ISERROR(SEARCH("Functioning",C254)))</formula>
    </cfRule>
  </conditionalFormatting>
  <conditionalFormatting sqref="C282">
    <cfRule type="beginsWith" dxfId="104" priority="37" stopIfTrue="1" operator="beginsWith" text="Functioning At Risk">
      <formula>LEFT(C282,LEN("Functioning At Risk"))="Functioning At Risk"</formula>
    </cfRule>
    <cfRule type="beginsWith" dxfId="103" priority="38" stopIfTrue="1" operator="beginsWith" text="Not Functioning">
      <formula>LEFT(C282,LEN("Not Functioning"))="Not Functioning"</formula>
    </cfRule>
    <cfRule type="containsText" dxfId="102" priority="39" operator="containsText" text="Functioning">
      <formula>NOT(ISERROR(SEARCH("Functioning",C282)))</formula>
    </cfRule>
  </conditionalFormatting>
  <conditionalFormatting sqref="C226">
    <cfRule type="beginsWith" dxfId="101" priority="34" stopIfTrue="1" operator="beginsWith" text="Functioning At Risk">
      <formula>LEFT(C226,LEN("Functioning At Risk"))="Functioning At Risk"</formula>
    </cfRule>
    <cfRule type="beginsWith" dxfId="100" priority="35" stopIfTrue="1" operator="beginsWith" text="Not Functioning">
      <formula>LEFT(C226,LEN("Not Functioning"))="Not Functioning"</formula>
    </cfRule>
    <cfRule type="containsText" dxfId="99" priority="36" operator="containsText" text="Functioning">
      <formula>NOT(ISERROR(SEARCH("Functioning",C226)))</formula>
    </cfRule>
  </conditionalFormatting>
  <conditionalFormatting sqref="C14">
    <cfRule type="beginsWith" dxfId="98" priority="31" stopIfTrue="1" operator="beginsWith" text="Functioning At Risk">
      <formula>LEFT(C14,LEN("Functioning At Risk"))="Functioning At Risk"</formula>
    </cfRule>
    <cfRule type="beginsWith" dxfId="97" priority="32" stopIfTrue="1" operator="beginsWith" text="Not Functioning">
      <formula>LEFT(C14,LEN("Not Functioning"))="Not Functioning"</formula>
    </cfRule>
    <cfRule type="containsText" dxfId="96" priority="33" operator="containsText" text="Functioning">
      <formula>NOT(ISERROR(SEARCH("Functioning",C14)))</formula>
    </cfRule>
  </conditionalFormatting>
  <conditionalFormatting sqref="C42">
    <cfRule type="beginsWith" dxfId="95" priority="28" stopIfTrue="1" operator="beginsWith" text="Functioning At Risk">
      <formula>LEFT(C42,LEN("Functioning At Risk"))="Functioning At Risk"</formula>
    </cfRule>
    <cfRule type="beginsWith" dxfId="94" priority="29" stopIfTrue="1" operator="beginsWith" text="Not Functioning">
      <formula>LEFT(C42,LEN("Not Functioning"))="Not Functioning"</formula>
    </cfRule>
    <cfRule type="containsText" dxfId="93" priority="30" operator="containsText" text="Functioning">
      <formula>NOT(ISERROR(SEARCH("Functioning",C42)))</formula>
    </cfRule>
  </conditionalFormatting>
  <conditionalFormatting sqref="C70">
    <cfRule type="beginsWith" dxfId="92" priority="25" stopIfTrue="1" operator="beginsWith" text="Functioning At Risk">
      <formula>LEFT(C70,LEN("Functioning At Risk"))="Functioning At Risk"</formula>
    </cfRule>
    <cfRule type="beginsWith" dxfId="91" priority="26" stopIfTrue="1" operator="beginsWith" text="Not Functioning">
      <formula>LEFT(C70,LEN("Not Functioning"))="Not Functioning"</formula>
    </cfRule>
    <cfRule type="containsText" dxfId="90" priority="27" operator="containsText" text="Functioning">
      <formula>NOT(ISERROR(SEARCH("Functioning",C70)))</formula>
    </cfRule>
  </conditionalFormatting>
  <conditionalFormatting sqref="C98">
    <cfRule type="beginsWith" dxfId="89" priority="22" stopIfTrue="1" operator="beginsWith" text="Functioning At Risk">
      <formula>LEFT(C98,LEN("Functioning At Risk"))="Functioning At Risk"</formula>
    </cfRule>
    <cfRule type="beginsWith" dxfId="88" priority="23" stopIfTrue="1" operator="beginsWith" text="Not Functioning">
      <formula>LEFT(C98,LEN("Not Functioning"))="Not Functioning"</formula>
    </cfRule>
    <cfRule type="containsText" dxfId="87" priority="24" operator="containsText" text="Functioning">
      <formula>NOT(ISERROR(SEARCH("Functioning",C98)))</formula>
    </cfRule>
  </conditionalFormatting>
  <conditionalFormatting sqref="C126">
    <cfRule type="beginsWith" dxfId="86" priority="19" stopIfTrue="1" operator="beginsWith" text="Functioning At Risk">
      <formula>LEFT(C126,LEN("Functioning At Risk"))="Functioning At Risk"</formula>
    </cfRule>
    <cfRule type="beginsWith" dxfId="85" priority="20" stopIfTrue="1" operator="beginsWith" text="Not Functioning">
      <formula>LEFT(C126,LEN("Not Functioning"))="Not Functioning"</formula>
    </cfRule>
    <cfRule type="containsText" dxfId="84" priority="21" operator="containsText" text="Functioning">
      <formula>NOT(ISERROR(SEARCH("Functioning",C126)))</formula>
    </cfRule>
  </conditionalFormatting>
  <conditionalFormatting sqref="C154">
    <cfRule type="beginsWith" dxfId="83" priority="16" stopIfTrue="1" operator="beginsWith" text="Functioning At Risk">
      <formula>LEFT(C154,LEN("Functioning At Risk"))="Functioning At Risk"</formula>
    </cfRule>
    <cfRule type="beginsWith" dxfId="82" priority="17" stopIfTrue="1" operator="beginsWith" text="Not Functioning">
      <formula>LEFT(C154,LEN("Not Functioning"))="Not Functioning"</formula>
    </cfRule>
    <cfRule type="containsText" dxfId="81" priority="18" operator="containsText" text="Functioning">
      <formula>NOT(ISERROR(SEARCH("Functioning",C154)))</formula>
    </cfRule>
  </conditionalFormatting>
  <conditionalFormatting sqref="C182">
    <cfRule type="beginsWith" dxfId="80" priority="13" stopIfTrue="1" operator="beginsWith" text="Functioning At Risk">
      <formula>LEFT(C182,LEN("Functioning At Risk"))="Functioning At Risk"</formula>
    </cfRule>
    <cfRule type="beginsWith" dxfId="79" priority="14" stopIfTrue="1" operator="beginsWith" text="Not Functioning">
      <formula>LEFT(C182,LEN("Not Functioning"))="Not Functioning"</formula>
    </cfRule>
    <cfRule type="containsText" dxfId="78" priority="15" operator="containsText" text="Functioning">
      <formula>NOT(ISERROR(SEARCH("Functioning",C182)))</formula>
    </cfRule>
  </conditionalFormatting>
  <conditionalFormatting sqref="C210">
    <cfRule type="beginsWith" dxfId="77" priority="10" stopIfTrue="1" operator="beginsWith" text="Functioning At Risk">
      <formula>LEFT(C210,LEN("Functioning At Risk"))="Functioning At Risk"</formula>
    </cfRule>
    <cfRule type="beginsWith" dxfId="76" priority="11" stopIfTrue="1" operator="beginsWith" text="Not Functioning">
      <formula>LEFT(C210,LEN("Not Functioning"))="Not Functioning"</formula>
    </cfRule>
    <cfRule type="containsText" dxfId="75" priority="12" operator="containsText" text="Functioning">
      <formula>NOT(ISERROR(SEARCH("Functioning",C210)))</formula>
    </cfRule>
  </conditionalFormatting>
  <conditionalFormatting sqref="C238">
    <cfRule type="beginsWith" dxfId="74" priority="7" stopIfTrue="1" operator="beginsWith" text="Functioning At Risk">
      <formula>LEFT(C238,LEN("Functioning At Risk"))="Functioning At Risk"</formula>
    </cfRule>
    <cfRule type="beginsWith" dxfId="73" priority="8" stopIfTrue="1" operator="beginsWith" text="Not Functioning">
      <formula>LEFT(C238,LEN("Not Functioning"))="Not Functioning"</formula>
    </cfRule>
    <cfRule type="containsText" dxfId="72" priority="9" operator="containsText" text="Functioning">
      <formula>NOT(ISERROR(SEARCH("Functioning",C238)))</formula>
    </cfRule>
  </conditionalFormatting>
  <conditionalFormatting sqref="C266">
    <cfRule type="beginsWith" dxfId="71" priority="4" stopIfTrue="1" operator="beginsWith" text="Functioning At Risk">
      <formula>LEFT(C266,LEN("Functioning At Risk"))="Functioning At Risk"</formula>
    </cfRule>
    <cfRule type="beginsWith" dxfId="70" priority="5" stopIfTrue="1" operator="beginsWith" text="Not Functioning">
      <formula>LEFT(C266,LEN("Not Functioning"))="Not Functioning"</formula>
    </cfRule>
    <cfRule type="containsText" dxfId="69" priority="6" operator="containsText" text="Functioning">
      <formula>NOT(ISERROR(SEARCH("Functioning",C266)))</formula>
    </cfRule>
  </conditionalFormatting>
  <conditionalFormatting sqref="C294">
    <cfRule type="beginsWith" dxfId="68" priority="1" stopIfTrue="1" operator="beginsWith" text="Functioning At Risk">
      <formula>LEFT(C294,LEN("Functioning At Risk"))="Functioning At Risk"</formula>
    </cfRule>
    <cfRule type="beginsWith" dxfId="67" priority="2" stopIfTrue="1" operator="beginsWith" text="Not Functioning">
      <formula>LEFT(C294,LEN("Not Functioning"))="Not Functioning"</formula>
    </cfRule>
    <cfRule type="containsText" dxfId="66" priority="3" operator="containsText" text="Functioning">
      <formula>NOT(ISERROR(SEARCH("Functioning",C294)))</formula>
    </cfRule>
  </conditionalFormatting>
  <dataValidations count="7">
    <dataValidation allowBlank="1" showErrorMessage="1" prompt="Select catchment conditon level from the completed catchment assessment form. " sqref="E227:E228 E199:E200 E3:E4 E255:E256 E31:E32 E59:E60 E87:E88 E115:E116 E143:E144 E171:E172 E283:E284" xr:uid="{00000000-0002-0000-0600-000000000000}"/>
    <dataValidation type="decimal" allowBlank="1" showInputMessage="1" showErrorMessage="1" sqref="E235:E239 E207:E211 E11:E15 E263:E267 E39:E43 E67:E71 E95:E99 E123:E127 E151:E155 E179:E183 E291:E295" xr:uid="{00000000-0002-0000-0600-000002000000}">
      <formula1>0</formula1>
      <formula2>5280</formula2>
    </dataValidation>
    <dataValidation allowBlank="1" showErrorMessage="1" prompt="Leave field value blank if not a coldwater stream." sqref="E104 E244 E216 E20 E272 E48 E76 E132 E160 E188 E300" xr:uid="{00000000-0002-0000-0600-000009000000}"/>
    <dataValidation allowBlank="1" showErrorMessage="1" prompt="This measurement method should be used in combination with either Erosion Rate or Dominant BEHI/NBS." sqref="E9 E261 E37 E65 E93 E121 E149 E177 E205 E233 E289" xr:uid="{7A4BD43E-91C0-4489-B0BA-C80A4FDCABF5}"/>
    <dataValidation allowBlank="1" showErrorMessage="1" prompt="The user should input a value for either BEHI/NBS or Erosion Rate, not both. " sqref="E10 E262 E38 E66 E94 E122 E150 E178 E206 E234 E290" xr:uid="{04D15895-B77A-422E-A74B-DAA4EDF57381}"/>
    <dataValidation type="list" allowBlank="1" showErrorMessage="1" prompt="Select the dominant BEHI/NBS.  _x000a_If erosion rate was measured select blank. The user should only input a value for either BEHI/NBS or Erosion Rate, not both. " sqref="E8 E260 E36 E64 E92 E120 E148 E176 E204 E232 E288" xr:uid="{8DDB9D97-29ED-44AD-B503-96BDEE077819}">
      <formula1>BEHI.NBS</formula1>
    </dataValidation>
    <dataValidation allowBlank="1" showErrorMessage="1" sqref="E26 E278 E54 E82 E110 E138 E166 E194 E222 E250 E306" xr:uid="{43E6CCFB-ABE2-4065-AA42-36722D69F05A}"/>
  </dataValidations>
  <pageMargins left="0.25" right="0.25" top="0.75" bottom="0.75" header="0.3" footer="0.3"/>
  <pageSetup paperSize="3" fitToWidth="0" fitToHeight="0" orientation="landscape" r:id="rId1"/>
  <headerFooter>
    <oddFooter>&amp;LMiSQT v1
Monitoring Data</oddFooter>
  </headerFooter>
  <rowBreaks count="10" manualBreakCount="10">
    <brk id="27" max="16383" man="1"/>
    <brk id="55" max="16383" man="1"/>
    <brk id="83" max="16383" man="1"/>
    <brk id="111" max="16383" man="1"/>
    <brk id="139" max="16383" man="1"/>
    <brk id="167" max="16383" man="1"/>
    <brk id="195" max="16383" man="1"/>
    <brk id="223" max="16383" man="1"/>
    <brk id="251" max="16383" man="1"/>
    <brk id="2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2:S32"/>
  <sheetViews>
    <sheetView zoomScaleNormal="100" workbookViewId="0">
      <selection activeCell="H23" sqref="H23"/>
    </sheetView>
  </sheetViews>
  <sheetFormatPr defaultRowHeight="15" x14ac:dyDescent="0.25"/>
  <cols>
    <col min="1" max="1" width="19.7109375" bestFit="1" customWidth="1"/>
    <col min="2" max="2" width="25.5703125" customWidth="1"/>
    <col min="3" max="3" width="14.7109375" customWidth="1"/>
    <col min="4" max="4" width="14.28515625" customWidth="1"/>
    <col min="5" max="5" width="10.28515625" customWidth="1"/>
    <col min="6" max="15" width="10.7109375" customWidth="1"/>
  </cols>
  <sheetData>
    <row r="2" spans="1:15" ht="21" x14ac:dyDescent="0.25">
      <c r="A2" s="464" t="s">
        <v>157</v>
      </c>
      <c r="B2" s="465"/>
      <c r="C2" s="465"/>
      <c r="D2" s="465"/>
      <c r="E2" s="465"/>
      <c r="F2" s="465"/>
      <c r="G2" s="465"/>
      <c r="H2" s="465"/>
      <c r="I2" s="465"/>
      <c r="J2" s="465"/>
      <c r="K2" s="465"/>
      <c r="L2" s="465"/>
      <c r="M2" s="465"/>
      <c r="N2" s="465"/>
      <c r="O2" s="466"/>
    </row>
    <row r="3" spans="1:15" ht="18.75" x14ac:dyDescent="0.25">
      <c r="A3" s="483" t="s">
        <v>1</v>
      </c>
      <c r="B3" s="483" t="s">
        <v>2</v>
      </c>
      <c r="C3" s="488" t="s">
        <v>71</v>
      </c>
      <c r="D3" s="488" t="s">
        <v>72</v>
      </c>
      <c r="E3" s="483" t="s">
        <v>174</v>
      </c>
      <c r="F3" s="485" t="s">
        <v>177</v>
      </c>
      <c r="G3" s="486"/>
      <c r="H3" s="486"/>
      <c r="I3" s="486"/>
      <c r="J3" s="486"/>
      <c r="K3" s="486"/>
      <c r="L3" s="486"/>
      <c r="M3" s="486"/>
      <c r="N3" s="486"/>
      <c r="O3" s="487"/>
    </row>
    <row r="4" spans="1:15" ht="18.75" x14ac:dyDescent="0.25">
      <c r="A4" s="484"/>
      <c r="B4" s="484"/>
      <c r="C4" s="489"/>
      <c r="D4" s="489"/>
      <c r="E4" s="484"/>
      <c r="F4" s="120" t="e">
        <f>IF('Monitoring Data'!B29="",#N/A,'Monitoring Data'!B29)</f>
        <v>#N/A</v>
      </c>
      <c r="G4" s="120" t="e">
        <f>IF('Monitoring Data'!B57="",#N/A,'Monitoring Data'!B57)</f>
        <v>#N/A</v>
      </c>
      <c r="H4" s="120" t="e">
        <f>IF('Monitoring Data'!B85="",#N/A,'Monitoring Data'!B85)</f>
        <v>#N/A</v>
      </c>
      <c r="I4" s="120" t="e">
        <f>IF('Monitoring Data'!B113="",#N/A,'Monitoring Data'!B113)</f>
        <v>#N/A</v>
      </c>
      <c r="J4" s="120" t="e">
        <f>IF('Monitoring Data'!B141="",#N/A,'Monitoring Data'!B141)</f>
        <v>#N/A</v>
      </c>
      <c r="K4" s="120" t="e">
        <f>IF('Monitoring Data'!B169="",#N/A,'Monitoring Data'!B169)</f>
        <v>#N/A</v>
      </c>
      <c r="L4" s="120" t="e">
        <f>IF('Monitoring Data'!B197="",#N/A,'Monitoring Data'!B197)</f>
        <v>#N/A</v>
      </c>
      <c r="M4" s="120" t="e">
        <f>IF('Monitoring Data'!B225="",#N/A,'Monitoring Data'!B225)</f>
        <v>#N/A</v>
      </c>
      <c r="N4" s="120" t="e">
        <f>IF('Monitoring Data'!B253="",#N/A,'Monitoring Data'!B253)</f>
        <v>#N/A</v>
      </c>
      <c r="O4" s="120" t="e">
        <f>IF('Monitoring Data'!B281="",#N/A,'Monitoring Data'!B281)</f>
        <v>#N/A</v>
      </c>
    </row>
    <row r="5" spans="1:15" ht="15.75" x14ac:dyDescent="0.25">
      <c r="A5" s="199" t="s">
        <v>62</v>
      </c>
      <c r="B5" s="72" t="s">
        <v>168</v>
      </c>
      <c r="C5" s="118" t="str">
        <f>'Quantification Tool'!G40</f>
        <v/>
      </c>
      <c r="D5" s="118" t="str">
        <f>'Quantification Tool'!G68</f>
        <v/>
      </c>
      <c r="E5" s="50" t="str">
        <f>'Monitoring Data'!G3</f>
        <v/>
      </c>
      <c r="F5" s="50" t="str">
        <f>'Monitoring Data'!G31</f>
        <v/>
      </c>
      <c r="G5" s="50" t="str">
        <f>'Monitoring Data'!G59</f>
        <v/>
      </c>
      <c r="H5" s="50" t="str">
        <f>'Monitoring Data'!G87</f>
        <v/>
      </c>
      <c r="I5" s="50" t="str">
        <f>'Monitoring Data'!G115</f>
        <v/>
      </c>
      <c r="J5" s="50" t="str">
        <f>'Monitoring Data'!G143</f>
        <v/>
      </c>
      <c r="K5" s="50" t="str">
        <f>'Monitoring Data'!G171</f>
        <v/>
      </c>
      <c r="L5" s="50" t="str">
        <f>'Monitoring Data'!G199</f>
        <v/>
      </c>
      <c r="M5" s="50" t="str">
        <f>'Monitoring Data'!G227</f>
        <v/>
      </c>
      <c r="N5" s="50" t="str">
        <f>'Monitoring Data'!G255</f>
        <v/>
      </c>
      <c r="O5" s="50" t="str">
        <f>'Monitoring Data'!G283</f>
        <v/>
      </c>
    </row>
    <row r="6" spans="1:15" ht="15.75" x14ac:dyDescent="0.25">
      <c r="A6" s="121" t="s">
        <v>6</v>
      </c>
      <c r="B6" s="73" t="s">
        <v>7</v>
      </c>
      <c r="C6" s="118" t="str">
        <f>'Quantification Tool'!G42</f>
        <v/>
      </c>
      <c r="D6" s="118" t="str">
        <f>'Quantification Tool'!G70</f>
        <v/>
      </c>
      <c r="E6" s="50" t="str">
        <f>'Monitoring Data'!G5</f>
        <v/>
      </c>
      <c r="F6" s="50" t="str">
        <f>'Monitoring Data'!G33</f>
        <v/>
      </c>
      <c r="G6" s="50" t="str">
        <f>'Monitoring Data'!G61</f>
        <v/>
      </c>
      <c r="H6" s="50" t="str">
        <f>'Monitoring Data'!G89</f>
        <v/>
      </c>
      <c r="I6" s="50" t="str">
        <f>'Monitoring Data'!G117</f>
        <v/>
      </c>
      <c r="J6" s="50" t="str">
        <f>'Monitoring Data'!G145</f>
        <v/>
      </c>
      <c r="K6" s="50" t="str">
        <f>'Monitoring Data'!G173</f>
        <v/>
      </c>
      <c r="L6" s="50" t="str">
        <f>'Monitoring Data'!G201</f>
        <v/>
      </c>
      <c r="M6" s="50" t="str">
        <f>'Monitoring Data'!G229</f>
        <v/>
      </c>
      <c r="N6" s="50" t="str">
        <f>'Monitoring Data'!G257</f>
        <v/>
      </c>
      <c r="O6" s="50" t="str">
        <f>'Monitoring Data'!G285</f>
        <v/>
      </c>
    </row>
    <row r="7" spans="1:15" ht="15.75" x14ac:dyDescent="0.25">
      <c r="A7" s="452" t="s">
        <v>27</v>
      </c>
      <c r="B7" s="74" t="s">
        <v>28</v>
      </c>
      <c r="C7" s="118" t="str">
        <f>'Quantification Tool'!G44</f>
        <v/>
      </c>
      <c r="D7" s="118" t="str">
        <f>'Quantification Tool'!G72</f>
        <v/>
      </c>
      <c r="E7" s="50" t="str">
        <f>'Monitoring Data'!G7</f>
        <v/>
      </c>
      <c r="F7" s="50" t="str">
        <f>'Monitoring Data'!G35</f>
        <v/>
      </c>
      <c r="G7" s="50" t="str">
        <f>'Monitoring Data'!G63</f>
        <v/>
      </c>
      <c r="H7" s="50" t="str">
        <f>'Monitoring Data'!G91</f>
        <v/>
      </c>
      <c r="I7" s="50" t="str">
        <f>'Monitoring Data'!G119</f>
        <v/>
      </c>
      <c r="J7" s="50" t="str">
        <f>'Monitoring Data'!G147</f>
        <v/>
      </c>
      <c r="K7" s="50" t="str">
        <f>'Monitoring Data'!G175</f>
        <v/>
      </c>
      <c r="L7" s="50" t="str">
        <f>'Monitoring Data'!G203</f>
        <v/>
      </c>
      <c r="M7" s="50" t="str">
        <f>'Monitoring Data'!G231</f>
        <v/>
      </c>
      <c r="N7" s="50" t="str">
        <f>'Monitoring Data'!G259</f>
        <v/>
      </c>
      <c r="O7" s="50" t="str">
        <f>'Monitoring Data'!G287</f>
        <v/>
      </c>
    </row>
    <row r="8" spans="1:15" ht="15.75" x14ac:dyDescent="0.25">
      <c r="A8" s="453"/>
      <c r="B8" s="74" t="s">
        <v>241</v>
      </c>
      <c r="C8" s="118" t="str">
        <f>'Quantification Tool'!G45</f>
        <v/>
      </c>
      <c r="D8" s="118" t="str">
        <f>'Quantification Tool'!G73</f>
        <v/>
      </c>
      <c r="E8" s="50" t="str">
        <f>'Monitoring Data'!G8</f>
        <v/>
      </c>
      <c r="F8" s="50" t="str">
        <f>'Monitoring Data'!G36</f>
        <v/>
      </c>
      <c r="G8" s="50" t="str">
        <f>'Monitoring Data'!G64</f>
        <v/>
      </c>
      <c r="H8" s="50" t="str">
        <f>'Monitoring Data'!G92</f>
        <v/>
      </c>
      <c r="I8" s="50" t="str">
        <f>'Monitoring Data'!G120</f>
        <v/>
      </c>
      <c r="J8" s="50" t="str">
        <f>'Monitoring Data'!G148</f>
        <v/>
      </c>
      <c r="K8" s="50" t="str">
        <f>'Monitoring Data'!G176</f>
        <v/>
      </c>
      <c r="L8" s="50" t="str">
        <f>'Monitoring Data'!G204</f>
        <v/>
      </c>
      <c r="M8" s="50" t="str">
        <f>'Monitoring Data'!G232</f>
        <v/>
      </c>
      <c r="N8" s="50" t="str">
        <f>'Monitoring Data'!G260</f>
        <v/>
      </c>
      <c r="O8" s="50" t="str">
        <f>'Monitoring Data'!G288</f>
        <v/>
      </c>
    </row>
    <row r="9" spans="1:15" ht="15.75" x14ac:dyDescent="0.25">
      <c r="A9" s="453"/>
      <c r="B9" s="74" t="s">
        <v>52</v>
      </c>
      <c r="C9" s="118" t="str">
        <f>'Quantification Tool'!G48</f>
        <v/>
      </c>
      <c r="D9" s="118" t="str">
        <f>'Quantification Tool'!G76</f>
        <v/>
      </c>
      <c r="E9" s="50" t="str">
        <f>'Monitoring Data'!G11</f>
        <v/>
      </c>
      <c r="F9" s="50" t="str">
        <f>'Monitoring Data'!G39</f>
        <v/>
      </c>
      <c r="G9" s="50" t="str">
        <f>'Monitoring Data'!G67</f>
        <v/>
      </c>
      <c r="H9" s="50" t="str">
        <f>'Monitoring Data'!G95</f>
        <v/>
      </c>
      <c r="I9" s="50" t="str">
        <f>'Monitoring Data'!G123</f>
        <v/>
      </c>
      <c r="J9" s="50" t="str">
        <f>'Monitoring Data'!G151</f>
        <v/>
      </c>
      <c r="K9" s="50" t="str">
        <f>'Monitoring Data'!G179</f>
        <v/>
      </c>
      <c r="L9" s="50" t="str">
        <f>'Monitoring Data'!G207</f>
        <v/>
      </c>
      <c r="M9" s="50" t="str">
        <f>'Monitoring Data'!G235</f>
        <v/>
      </c>
      <c r="N9" s="50" t="str">
        <f>'Monitoring Data'!G263</f>
        <v/>
      </c>
      <c r="O9" s="50" t="str">
        <f>'Monitoring Data'!G291</f>
        <v/>
      </c>
    </row>
    <row r="10" spans="1:15" ht="15.75" x14ac:dyDescent="0.25">
      <c r="A10" s="453"/>
      <c r="B10" s="74" t="s">
        <v>53</v>
      </c>
      <c r="C10" s="118" t="str">
        <f>'Quantification Tool'!G53</f>
        <v/>
      </c>
      <c r="D10" s="118" t="str">
        <f>'Quantification Tool'!G81</f>
        <v/>
      </c>
      <c r="E10" s="50" t="str">
        <f>'Monitoring Data'!G16</f>
        <v/>
      </c>
      <c r="F10" s="50" t="str">
        <f>'Monitoring Data'!G44</f>
        <v/>
      </c>
      <c r="G10" s="50" t="str">
        <f>'Monitoring Data'!G72</f>
        <v/>
      </c>
      <c r="H10" s="50" t="str">
        <f>'Monitoring Data'!G100</f>
        <v/>
      </c>
      <c r="I10" s="50" t="str">
        <f>'Monitoring Data'!G128</f>
        <v/>
      </c>
      <c r="J10" s="50" t="str">
        <f>'Monitoring Data'!G156</f>
        <v/>
      </c>
      <c r="K10" s="50" t="str">
        <f>'Monitoring Data'!G184</f>
        <v/>
      </c>
      <c r="L10" s="50" t="str">
        <f>'Monitoring Data'!G212</f>
        <v/>
      </c>
      <c r="M10" s="50" t="str">
        <f>'Monitoring Data'!G240</f>
        <v/>
      </c>
      <c r="N10" s="50" t="str">
        <f>'Monitoring Data'!G268</f>
        <v/>
      </c>
      <c r="O10" s="50" t="str">
        <f>'Monitoring Data'!G296</f>
        <v/>
      </c>
    </row>
    <row r="11" spans="1:15" ht="15.75" x14ac:dyDescent="0.25">
      <c r="A11" s="455" t="s">
        <v>59</v>
      </c>
      <c r="B11" s="155" t="s">
        <v>94</v>
      </c>
      <c r="C11" s="118" t="str">
        <f>'Quantification Tool'!G57</f>
        <v/>
      </c>
      <c r="D11" s="118" t="str">
        <f>'Quantification Tool'!G85</f>
        <v/>
      </c>
      <c r="E11" s="50" t="str">
        <f>'Monitoring Data'!G20</f>
        <v/>
      </c>
      <c r="F11" s="50" t="str">
        <f>'Monitoring Data'!G48</f>
        <v/>
      </c>
      <c r="G11" s="50" t="str">
        <f>'Monitoring Data'!G76</f>
        <v/>
      </c>
      <c r="H11" s="50" t="str">
        <f>'Monitoring Data'!G104</f>
        <v/>
      </c>
      <c r="I11" s="50" t="str">
        <f>'Monitoring Data'!G132</f>
        <v/>
      </c>
      <c r="J11" s="50" t="str">
        <f>'Monitoring Data'!G160</f>
        <v/>
      </c>
      <c r="K11" s="50" t="str">
        <f>'Monitoring Data'!G188</f>
        <v/>
      </c>
      <c r="L11" s="50" t="str">
        <f>'Monitoring Data'!G216</f>
        <v/>
      </c>
      <c r="M11" s="50" t="str">
        <f>'Monitoring Data'!G244</f>
        <v/>
      </c>
      <c r="N11" s="50" t="str">
        <f>'Monitoring Data'!G272</f>
        <v/>
      </c>
      <c r="O11" s="50" t="str">
        <f>'Monitoring Data'!G300</f>
        <v/>
      </c>
    </row>
    <row r="12" spans="1:15" ht="15.75" x14ac:dyDescent="0.25">
      <c r="A12" s="456"/>
      <c r="B12" s="155" t="s">
        <v>109</v>
      </c>
      <c r="C12" s="118" t="str">
        <f>'Quantification Tool'!G58</f>
        <v/>
      </c>
      <c r="D12" s="118" t="str">
        <f>'Quantification Tool'!G86</f>
        <v/>
      </c>
      <c r="E12" s="50" t="str">
        <f>'Monitoring Data'!G21</f>
        <v/>
      </c>
      <c r="F12" s="50" t="str">
        <f>'Monitoring Data'!G49</f>
        <v/>
      </c>
      <c r="G12" s="50" t="str">
        <f>'Monitoring Data'!G77</f>
        <v/>
      </c>
      <c r="H12" s="50" t="str">
        <f>'Monitoring Data'!G105</f>
        <v/>
      </c>
      <c r="I12" s="50" t="str">
        <f>'Monitoring Data'!G133</f>
        <v/>
      </c>
      <c r="J12" s="50" t="str">
        <f>'Monitoring Data'!G161</f>
        <v/>
      </c>
      <c r="K12" s="50" t="str">
        <f>'Monitoring Data'!G189</f>
        <v/>
      </c>
      <c r="L12" s="50" t="str">
        <f>'Monitoring Data'!G217</f>
        <v/>
      </c>
      <c r="M12" s="50" t="str">
        <f>'Monitoring Data'!G245</f>
        <v/>
      </c>
      <c r="N12" s="50" t="str">
        <f>'Monitoring Data'!G273</f>
        <v/>
      </c>
      <c r="O12" s="50" t="str">
        <f>'Monitoring Data'!G301</f>
        <v/>
      </c>
    </row>
    <row r="13" spans="1:15" ht="15.75" x14ac:dyDescent="0.25">
      <c r="A13" s="456"/>
      <c r="B13" s="64" t="s">
        <v>246</v>
      </c>
      <c r="C13" s="118" t="str">
        <f>'Quantification Tool'!G59</f>
        <v/>
      </c>
      <c r="D13" s="118" t="str">
        <f>'Quantification Tool'!G87</f>
        <v/>
      </c>
      <c r="E13" s="50" t="str">
        <f>'Monitoring Data'!G22</f>
        <v/>
      </c>
      <c r="F13" s="50" t="str">
        <f>'Monitoring Data'!G50</f>
        <v/>
      </c>
      <c r="G13" s="50" t="str">
        <f>'Monitoring Data'!G78</f>
        <v/>
      </c>
      <c r="H13" s="50" t="str">
        <f>'Monitoring Data'!G106</f>
        <v/>
      </c>
      <c r="I13" s="50" t="str">
        <f>'Monitoring Data'!G134</f>
        <v/>
      </c>
      <c r="J13" s="50" t="str">
        <f>'Monitoring Data'!G162</f>
        <v/>
      </c>
      <c r="K13" s="50" t="str">
        <f>'Monitoring Data'!G190</f>
        <v/>
      </c>
      <c r="L13" s="50" t="str">
        <f>'Monitoring Data'!G218</f>
        <v/>
      </c>
      <c r="M13" s="50" t="str">
        <f>'Monitoring Data'!G246</f>
        <v/>
      </c>
      <c r="N13" s="50" t="str">
        <f>'Monitoring Data'!G274</f>
        <v/>
      </c>
      <c r="O13" s="50" t="str">
        <f>'Monitoring Data'!G302</f>
        <v/>
      </c>
    </row>
    <row r="14" spans="1:15" ht="15.75" x14ac:dyDescent="0.25">
      <c r="A14" s="457"/>
      <c r="B14" s="232" t="s">
        <v>247</v>
      </c>
      <c r="C14" s="118" t="str">
        <f>'Quantification Tool'!G60</f>
        <v/>
      </c>
      <c r="D14" s="118" t="str">
        <f>'Quantification Tool'!G88</f>
        <v/>
      </c>
      <c r="E14" s="50" t="str">
        <f>'Monitoring Data'!G23</f>
        <v/>
      </c>
      <c r="F14" s="50" t="str">
        <f>'Monitoring Data'!G51</f>
        <v/>
      </c>
      <c r="G14" s="50" t="str">
        <f>'Monitoring Data'!G79</f>
        <v/>
      </c>
      <c r="H14" s="50" t="str">
        <f>'Monitoring Data'!G107</f>
        <v/>
      </c>
      <c r="I14" s="50" t="str">
        <f>'Monitoring Data'!G135</f>
        <v/>
      </c>
      <c r="J14" s="50" t="str">
        <f>'Monitoring Data'!G163</f>
        <v/>
      </c>
      <c r="K14" s="50" t="str">
        <f>'Monitoring Data'!G191</f>
        <v/>
      </c>
      <c r="L14" s="50" t="str">
        <f>'Monitoring Data'!G219</f>
        <v/>
      </c>
      <c r="M14" s="50" t="str">
        <f>'Monitoring Data'!G247</f>
        <v/>
      </c>
      <c r="N14" s="50" t="str">
        <f>'Monitoring Data'!G275</f>
        <v/>
      </c>
      <c r="O14" s="50" t="str">
        <f>'Monitoring Data'!G303</f>
        <v/>
      </c>
    </row>
    <row r="15" spans="1:15" ht="15.75" x14ac:dyDescent="0.25">
      <c r="A15" s="458" t="s">
        <v>60</v>
      </c>
      <c r="B15" s="75" t="s">
        <v>249</v>
      </c>
      <c r="C15" s="118" t="str">
        <f>'Quantification Tool'!G61</f>
        <v/>
      </c>
      <c r="D15" s="118" t="str">
        <f>'Quantification Tool'!G89</f>
        <v/>
      </c>
      <c r="E15" s="50" t="str">
        <f>'Monitoring Data'!G24</f>
        <v/>
      </c>
      <c r="F15" s="50" t="str">
        <f>'Monitoring Data'!G52</f>
        <v/>
      </c>
      <c r="G15" s="50" t="str">
        <f>'Monitoring Data'!G80</f>
        <v/>
      </c>
      <c r="H15" s="50" t="str">
        <f>'Monitoring Data'!G108</f>
        <v/>
      </c>
      <c r="I15" s="50" t="str">
        <f>'Monitoring Data'!G136</f>
        <v/>
      </c>
      <c r="J15" s="50" t="str">
        <f>'Monitoring Data'!G164</f>
        <v/>
      </c>
      <c r="K15" s="50" t="str">
        <f>'Monitoring Data'!G192</f>
        <v/>
      </c>
      <c r="L15" s="50" t="str">
        <f>'Monitoring Data'!G220</f>
        <v/>
      </c>
      <c r="M15" s="50" t="str">
        <f>'Monitoring Data'!G248</f>
        <v/>
      </c>
      <c r="N15" s="50" t="str">
        <f>'Monitoring Data'!G276</f>
        <v/>
      </c>
      <c r="O15" s="50" t="str">
        <f>'Monitoring Data'!G304</f>
        <v/>
      </c>
    </row>
    <row r="16" spans="1:15" ht="15.75" x14ac:dyDescent="0.25">
      <c r="A16" s="459"/>
      <c r="B16" s="75" t="s">
        <v>84</v>
      </c>
      <c r="C16" s="118" t="str">
        <f>'Quantification Tool'!G63</f>
        <v/>
      </c>
      <c r="D16" s="118" t="str">
        <f>'Quantification Tool'!G91</f>
        <v/>
      </c>
      <c r="E16" s="50" t="str">
        <f>'Monitoring Data'!G26</f>
        <v/>
      </c>
      <c r="F16" s="50" t="str">
        <f>'Monitoring Data'!G54</f>
        <v/>
      </c>
      <c r="G16" s="50" t="str">
        <f>'Monitoring Data'!G82</f>
        <v/>
      </c>
      <c r="H16" s="50" t="str">
        <f>'Monitoring Data'!G110</f>
        <v/>
      </c>
      <c r="I16" s="50" t="str">
        <f>'Monitoring Data'!G138</f>
        <v/>
      </c>
      <c r="J16" s="50" t="str">
        <f>'Monitoring Data'!G166</f>
        <v/>
      </c>
      <c r="K16" s="50" t="str">
        <f>'Monitoring Data'!G194</f>
        <v/>
      </c>
      <c r="L16" s="50" t="str">
        <f>'Monitoring Data'!G222</f>
        <v/>
      </c>
      <c r="M16" s="50" t="str">
        <f>'Monitoring Data'!G250</f>
        <v/>
      </c>
      <c r="N16" s="50" t="str">
        <f>'Monitoring Data'!G278</f>
        <v/>
      </c>
      <c r="O16" s="50" t="str">
        <f>'Monitoring Data'!G306</f>
        <v/>
      </c>
    </row>
    <row r="19" spans="1:19" ht="21" x14ac:dyDescent="0.25">
      <c r="A19" s="464" t="s">
        <v>136</v>
      </c>
      <c r="B19" s="465"/>
      <c r="C19" s="465"/>
      <c r="D19" s="465"/>
      <c r="E19" s="465"/>
      <c r="F19" s="465"/>
      <c r="G19" s="465"/>
      <c r="H19" s="465"/>
      <c r="I19" s="465"/>
      <c r="J19" s="465"/>
      <c r="K19" s="465"/>
      <c r="L19" s="465"/>
      <c r="M19" s="465"/>
      <c r="N19" s="465"/>
      <c r="O19" s="466"/>
    </row>
    <row r="20" spans="1:19" ht="14.85" customHeight="1" x14ac:dyDescent="0.25">
      <c r="A20" s="490" t="s">
        <v>137</v>
      </c>
      <c r="B20" s="491"/>
      <c r="C20" s="481" t="s">
        <v>138</v>
      </c>
      <c r="D20" s="481" t="s">
        <v>139</v>
      </c>
      <c r="E20" s="483" t="s">
        <v>174</v>
      </c>
      <c r="F20" s="485" t="s">
        <v>177</v>
      </c>
      <c r="G20" s="486"/>
      <c r="H20" s="486"/>
      <c r="I20" s="486"/>
      <c r="J20" s="486"/>
      <c r="K20" s="486"/>
      <c r="L20" s="486"/>
      <c r="M20" s="486"/>
      <c r="N20" s="486"/>
      <c r="O20" s="487"/>
      <c r="P20" s="116"/>
      <c r="Q20" s="116"/>
    </row>
    <row r="21" spans="1:19" ht="14.85" customHeight="1" x14ac:dyDescent="0.25">
      <c r="A21" s="492"/>
      <c r="B21" s="493"/>
      <c r="C21" s="482"/>
      <c r="D21" s="482"/>
      <c r="E21" s="484"/>
      <c r="F21" s="119" t="e">
        <f t="shared" ref="F21:O21" si="0">F4</f>
        <v>#N/A</v>
      </c>
      <c r="G21" s="119" t="e">
        <f t="shared" si="0"/>
        <v>#N/A</v>
      </c>
      <c r="H21" s="119" t="e">
        <f t="shared" si="0"/>
        <v>#N/A</v>
      </c>
      <c r="I21" s="119" t="e">
        <f t="shared" si="0"/>
        <v>#N/A</v>
      </c>
      <c r="J21" s="119" t="e">
        <f t="shared" si="0"/>
        <v>#N/A</v>
      </c>
      <c r="K21" s="119" t="e">
        <f t="shared" si="0"/>
        <v>#N/A</v>
      </c>
      <c r="L21" s="119" t="e">
        <f t="shared" si="0"/>
        <v>#N/A</v>
      </c>
      <c r="M21" s="119" t="e">
        <f t="shared" si="0"/>
        <v>#N/A</v>
      </c>
      <c r="N21" s="119" t="e">
        <f t="shared" si="0"/>
        <v>#N/A</v>
      </c>
      <c r="O21" s="119" t="e">
        <f t="shared" si="0"/>
        <v>#N/A</v>
      </c>
      <c r="P21" s="116"/>
      <c r="Q21" s="116"/>
    </row>
    <row r="22" spans="1:19" ht="14.85" customHeight="1" x14ac:dyDescent="0.25">
      <c r="A22" s="477" t="s">
        <v>62</v>
      </c>
      <c r="B22" s="477"/>
      <c r="C22" s="220" t="str">
        <f>'Quantification Tool'!H24</f>
        <v/>
      </c>
      <c r="D22" s="220" t="str">
        <f>'Quantification Tool'!I24</f>
        <v/>
      </c>
      <c r="E22" s="197" t="str">
        <f>'Monitoring Data'!H3</f>
        <v/>
      </c>
      <c r="F22" s="234" t="str">
        <f>'Monitoring Data'!H31</f>
        <v/>
      </c>
      <c r="G22" s="234" t="str">
        <f>'Monitoring Data'!H59</f>
        <v/>
      </c>
      <c r="H22" s="234" t="str">
        <f>'Monitoring Data'!H87</f>
        <v/>
      </c>
      <c r="I22" s="234" t="str">
        <f>'Monitoring Data'!H115</f>
        <v/>
      </c>
      <c r="J22" s="234" t="str">
        <f>'Monitoring Data'!H143</f>
        <v/>
      </c>
      <c r="K22" s="234" t="str">
        <f>'Monitoring Data'!H171</f>
        <v/>
      </c>
      <c r="L22" s="234" t="str">
        <f>'Monitoring Data'!H199</f>
        <v/>
      </c>
      <c r="M22" s="234" t="str">
        <f>'Monitoring Data'!H227</f>
        <v/>
      </c>
      <c r="N22" s="234" t="str">
        <f>'Monitoring Data'!H255</f>
        <v/>
      </c>
      <c r="O22" s="234" t="str">
        <f>'Monitoring Data'!H283</f>
        <v/>
      </c>
      <c r="P22" s="114"/>
      <c r="Q22" s="115"/>
      <c r="R22" s="88"/>
      <c r="S22" s="88"/>
    </row>
    <row r="23" spans="1:19" ht="14.85" customHeight="1" x14ac:dyDescent="0.25">
      <c r="A23" s="478" t="s">
        <v>6</v>
      </c>
      <c r="B23" s="478"/>
      <c r="C23" s="220" t="str">
        <f>'Quantification Tool'!H42</f>
        <v/>
      </c>
      <c r="D23" s="220" t="str">
        <f>'Quantification Tool'!H70</f>
        <v/>
      </c>
      <c r="E23" s="197" t="str">
        <f>'Monitoring Data'!H5</f>
        <v/>
      </c>
      <c r="F23" s="197" t="str">
        <f>'Monitoring Data'!H33</f>
        <v/>
      </c>
      <c r="G23" s="197" t="str">
        <f>'Monitoring Data'!H61</f>
        <v/>
      </c>
      <c r="H23" s="197" t="str">
        <f>'Monitoring Data'!H89</f>
        <v/>
      </c>
      <c r="I23" s="197" t="str">
        <f>'Monitoring Data'!H117</f>
        <v/>
      </c>
      <c r="J23" s="197" t="str">
        <f>'Monitoring Data'!H145</f>
        <v/>
      </c>
      <c r="K23" s="197" t="str">
        <f>'Monitoring Data'!H173</f>
        <v/>
      </c>
      <c r="L23" s="197" t="str">
        <f>'Monitoring Data'!H201</f>
        <v/>
      </c>
      <c r="M23" s="197" t="str">
        <f>'Monitoring Data'!H229</f>
        <v/>
      </c>
      <c r="N23" s="197" t="str">
        <f>'Monitoring Data'!H257</f>
        <v/>
      </c>
      <c r="O23" s="197" t="str">
        <f>'Monitoring Data'!H285</f>
        <v/>
      </c>
      <c r="P23" s="114"/>
      <c r="Q23" s="114"/>
      <c r="R23" s="88"/>
      <c r="S23" s="88"/>
    </row>
    <row r="24" spans="1:19" ht="14.85" customHeight="1" x14ac:dyDescent="0.25">
      <c r="A24" s="479" t="s">
        <v>27</v>
      </c>
      <c r="B24" s="479"/>
      <c r="C24" s="220" t="str">
        <f>'Quantification Tool'!H44</f>
        <v/>
      </c>
      <c r="D24" s="220" t="str">
        <f>'Quantification Tool'!H72</f>
        <v/>
      </c>
      <c r="E24" s="197" t="str">
        <f>'Monitoring Data'!H7</f>
        <v/>
      </c>
      <c r="F24" s="197" t="str">
        <f>'Monitoring Data'!H35</f>
        <v/>
      </c>
      <c r="G24" s="197" t="str">
        <f>'Monitoring Data'!H63</f>
        <v/>
      </c>
      <c r="H24" s="197" t="str">
        <f>'Monitoring Data'!H91</f>
        <v/>
      </c>
      <c r="I24" s="197" t="str">
        <f>'Monitoring Data'!H119</f>
        <v/>
      </c>
      <c r="J24" s="197" t="str">
        <f>'Monitoring Data'!H147</f>
        <v/>
      </c>
      <c r="K24" s="197" t="str">
        <f>'Monitoring Data'!H175</f>
        <v/>
      </c>
      <c r="L24" s="197" t="str">
        <f>'Monitoring Data'!H203</f>
        <v/>
      </c>
      <c r="M24" s="197" t="str">
        <f>'Monitoring Data'!H231</f>
        <v/>
      </c>
      <c r="N24" s="197" t="str">
        <f>'Monitoring Data'!H259</f>
        <v/>
      </c>
      <c r="O24" s="197" t="str">
        <f>'Monitoring Data'!H287</f>
        <v/>
      </c>
      <c r="P24" s="114"/>
      <c r="Q24" s="115"/>
      <c r="R24" s="88"/>
      <c r="S24" s="88"/>
    </row>
    <row r="25" spans="1:19" ht="15.75" x14ac:dyDescent="0.25">
      <c r="A25" s="480" t="s">
        <v>59</v>
      </c>
      <c r="B25" s="480"/>
      <c r="C25" s="220" t="str">
        <f>'Quantification Tool'!H57</f>
        <v/>
      </c>
      <c r="D25" s="220" t="str">
        <f>'Quantification Tool'!H85</f>
        <v/>
      </c>
      <c r="E25" s="197" t="str">
        <f>'Monitoring Data'!H20</f>
        <v/>
      </c>
      <c r="F25" s="197" t="str">
        <f>'Monitoring Data'!H48</f>
        <v/>
      </c>
      <c r="G25" s="197" t="str">
        <f>'Monitoring Data'!H76</f>
        <v/>
      </c>
      <c r="H25" s="197" t="str">
        <f>'Monitoring Data'!H104</f>
        <v/>
      </c>
      <c r="I25" s="197" t="str">
        <f>'Monitoring Data'!H132</f>
        <v/>
      </c>
      <c r="J25" s="197" t="str">
        <f>'Monitoring Data'!H160</f>
        <v/>
      </c>
      <c r="K25" s="197" t="str">
        <f>'Monitoring Data'!H188</f>
        <v/>
      </c>
      <c r="L25" s="197" t="str">
        <f>'Monitoring Data'!H216</f>
        <v/>
      </c>
      <c r="M25" s="197" t="str">
        <f>'Monitoring Data'!H244</f>
        <v/>
      </c>
      <c r="N25" s="197" t="str">
        <f>'Monitoring Data'!H272</f>
        <v/>
      </c>
      <c r="O25" s="197" t="str">
        <f>'Monitoring Data'!H300</f>
        <v/>
      </c>
      <c r="P25" s="114"/>
      <c r="Q25" s="115"/>
      <c r="R25" s="88"/>
      <c r="S25" s="88"/>
    </row>
    <row r="26" spans="1:19" ht="15.75" x14ac:dyDescent="0.25">
      <c r="A26" s="476" t="s">
        <v>60</v>
      </c>
      <c r="B26" s="476"/>
      <c r="C26" s="220" t="str">
        <f>'Quantification Tool'!H61</f>
        <v/>
      </c>
      <c r="D26" s="220" t="str">
        <f>'Quantification Tool'!H89</f>
        <v/>
      </c>
      <c r="E26" s="197" t="str">
        <f>'Monitoring Data'!H24</f>
        <v/>
      </c>
      <c r="F26" s="197" t="str">
        <f>'Monitoring Data'!H52</f>
        <v/>
      </c>
      <c r="G26" s="197" t="str">
        <f>'Monitoring Data'!H80</f>
        <v/>
      </c>
      <c r="H26" s="197" t="str">
        <f>'Monitoring Data'!H108</f>
        <v/>
      </c>
      <c r="I26" s="197" t="str">
        <f>'Monitoring Data'!H136</f>
        <v/>
      </c>
      <c r="J26" s="197" t="str">
        <f>'Monitoring Data'!H164</f>
        <v/>
      </c>
      <c r="K26" s="197" t="str">
        <f>'Monitoring Data'!H192</f>
        <v/>
      </c>
      <c r="L26" s="197" t="str">
        <f>'Monitoring Data'!H220</f>
        <v/>
      </c>
      <c r="M26" s="197" t="str">
        <f>'Monitoring Data'!H248</f>
        <v/>
      </c>
      <c r="N26" s="197" t="str">
        <f>'Monitoring Data'!H276</f>
        <v/>
      </c>
      <c r="O26" s="197" t="str">
        <f>'Monitoring Data'!H304</f>
        <v/>
      </c>
      <c r="P26" s="114"/>
      <c r="Q26" s="114"/>
      <c r="R26" s="88"/>
      <c r="S26" s="88"/>
    </row>
    <row r="27" spans="1:19" ht="15.75" x14ac:dyDescent="0.25">
      <c r="A27" s="397" t="s">
        <v>175</v>
      </c>
      <c r="B27" s="397"/>
      <c r="C27" s="221">
        <f>ROUND(0.2*SUM(C22:C26),2)</f>
        <v>0</v>
      </c>
      <c r="D27" s="221">
        <f>ROUND(0.2*SUM(D22:D26),2)</f>
        <v>0</v>
      </c>
      <c r="E27" s="198">
        <f>ROUND(0.2*SUM(E22:E26),2)</f>
        <v>0</v>
      </c>
      <c r="F27" s="222" t="e">
        <f t="shared" ref="F27:O27" si="1">IF(F21="","",ROUND(0.2*SUM(F22:F26),2))</f>
        <v>#N/A</v>
      </c>
      <c r="G27" s="222" t="e">
        <f t="shared" si="1"/>
        <v>#N/A</v>
      </c>
      <c r="H27" s="222" t="e">
        <f t="shared" si="1"/>
        <v>#N/A</v>
      </c>
      <c r="I27" s="222" t="e">
        <f t="shared" si="1"/>
        <v>#N/A</v>
      </c>
      <c r="J27" s="222" t="e">
        <f t="shared" si="1"/>
        <v>#N/A</v>
      </c>
      <c r="K27" s="222" t="e">
        <f t="shared" si="1"/>
        <v>#N/A</v>
      </c>
      <c r="L27" s="222" t="e">
        <f t="shared" si="1"/>
        <v>#N/A</v>
      </c>
      <c r="M27" s="222" t="e">
        <f t="shared" si="1"/>
        <v>#N/A</v>
      </c>
      <c r="N27" s="222" t="e">
        <f t="shared" si="1"/>
        <v>#N/A</v>
      </c>
      <c r="O27" s="222" t="e">
        <f t="shared" si="1"/>
        <v>#N/A</v>
      </c>
    </row>
    <row r="28" spans="1:19" ht="15.75" x14ac:dyDescent="0.25">
      <c r="A28" s="397" t="s">
        <v>176</v>
      </c>
      <c r="B28" s="397"/>
      <c r="C28" s="221">
        <f>ROUND(C27*'Quantification Tool'!B6,0)</f>
        <v>0</v>
      </c>
      <c r="D28" s="223">
        <f>ROUND(D27*'Quantification Tool'!$B$7,0)</f>
        <v>0</v>
      </c>
      <c r="E28" s="224">
        <f>ROUND(E27*'Quantification Tool'!$B$7,0)</f>
        <v>0</v>
      </c>
      <c r="F28" s="224" t="str">
        <f>IFERROR(ROUND(F27*'Quantification Tool'!$B$7,0),"")</f>
        <v/>
      </c>
      <c r="G28" s="224" t="str">
        <f>IFERROR(ROUND(G27*'Quantification Tool'!$B$7,0),"")</f>
        <v/>
      </c>
      <c r="H28" s="224" t="str">
        <f>IFERROR(ROUND(H27*'Quantification Tool'!$B$7,0),"")</f>
        <v/>
      </c>
      <c r="I28" s="224" t="str">
        <f>IFERROR(ROUND(I27*'Quantification Tool'!$B$7,0),"")</f>
        <v/>
      </c>
      <c r="J28" s="224" t="str">
        <f>IFERROR(ROUND(J27*'Quantification Tool'!$B$7,0),"")</f>
        <v/>
      </c>
      <c r="K28" s="224" t="str">
        <f>IFERROR(ROUND(K27*'Quantification Tool'!$B$7,0),"")</f>
        <v/>
      </c>
      <c r="L28" s="224" t="str">
        <f>IFERROR(ROUND(L27*'Quantification Tool'!$B$7,0),"")</f>
        <v/>
      </c>
      <c r="M28" s="224" t="str">
        <f>IFERROR(ROUND(M27*'Quantification Tool'!$B$7,0),"")</f>
        <v/>
      </c>
      <c r="N28" s="224" t="str">
        <f>IFERROR(ROUND(N27*'Quantification Tool'!$B$7,0),"")</f>
        <v/>
      </c>
      <c r="O28" s="224" t="str">
        <f>IFERROR(ROUND(O27*'Quantification Tool'!$B$7,0),"")</f>
        <v/>
      </c>
    </row>
    <row r="29" spans="1:19" ht="18.75" x14ac:dyDescent="0.3">
      <c r="C29" s="117"/>
    </row>
    <row r="31" spans="1:19" x14ac:dyDescent="0.25">
      <c r="A31" s="11" t="s">
        <v>178</v>
      </c>
    </row>
    <row r="32" spans="1:19" x14ac:dyDescent="0.25">
      <c r="A32" s="11" t="e">
        <f>IFERROR(O21,IFERROR(N21,IFERROR(M21,IFERROR(L21,IFERROR(K21,IFERROR(J21,IFERROR(I21,IFERROR(H21,IFERROR(G21,F21)))))))))</f>
        <v>#N/A</v>
      </c>
    </row>
  </sheetData>
  <sheetProtection algorithmName="SHA-512" hashValue="9ScjZdHeapFa+wDWlNDyehHjdumTMxfzrAlWBVe+67zfdfhgF2h6K1elyH6HKv8623xwo5XNN1CR5vCBXFAJUw==" saltValue="GQmqq9PutGeqiEC3xtNXPQ==" spinCount="100000" sheet="1" objects="1" scenarios="1"/>
  <mergeCells count="23">
    <mergeCell ref="C20:C21"/>
    <mergeCell ref="D20:D21"/>
    <mergeCell ref="E20:E21"/>
    <mergeCell ref="F20:O20"/>
    <mergeCell ref="A2:O2"/>
    <mergeCell ref="A19:O19"/>
    <mergeCell ref="A3:A4"/>
    <mergeCell ref="B3:B4"/>
    <mergeCell ref="C3:C4"/>
    <mergeCell ref="D3:D4"/>
    <mergeCell ref="E3:E4"/>
    <mergeCell ref="F3:O3"/>
    <mergeCell ref="A20:B21"/>
    <mergeCell ref="A7:A10"/>
    <mergeCell ref="A11:A14"/>
    <mergeCell ref="A15:A16"/>
    <mergeCell ref="A28:B28"/>
    <mergeCell ref="A26:B26"/>
    <mergeCell ref="A27:B27"/>
    <mergeCell ref="A22:B22"/>
    <mergeCell ref="A23:B23"/>
    <mergeCell ref="A24:B24"/>
    <mergeCell ref="A25:B25"/>
  </mergeCells>
  <conditionalFormatting sqref="A15">
    <cfRule type="beginsWith" dxfId="65" priority="109" stopIfTrue="1" operator="beginsWith" text="Functioning At Risk">
      <formula>LEFT(A15,LEN("Functioning At Risk"))="Functioning At Risk"</formula>
    </cfRule>
    <cfRule type="beginsWith" dxfId="64" priority="110" stopIfTrue="1" operator="beginsWith" text="Not Functioning">
      <formula>LEFT(A15,LEN("Not Functioning"))="Not Functioning"</formula>
    </cfRule>
    <cfRule type="containsText" dxfId="63" priority="111" operator="containsText" text="Functioning">
      <formula>NOT(ISERROR(SEARCH("Functioning",A15)))</formula>
    </cfRule>
  </conditionalFormatting>
  <conditionalFormatting sqref="A11">
    <cfRule type="beginsWith" dxfId="62" priority="91" stopIfTrue="1" operator="beginsWith" text="Functioning At Risk">
      <formula>LEFT(A11,LEN("Functioning At Risk"))="Functioning At Risk"</formula>
    </cfRule>
    <cfRule type="beginsWith" dxfId="61" priority="92" stopIfTrue="1" operator="beginsWith" text="Not Functioning">
      <formula>LEFT(A11,LEN("Not Functioning"))="Not Functioning"</formula>
    </cfRule>
    <cfRule type="containsText" dxfId="60" priority="93" operator="containsText" text="Functioning">
      <formula>NOT(ISERROR(SEARCH("Functioning",A11)))</formula>
    </cfRule>
  </conditionalFormatting>
  <conditionalFormatting sqref="C5:O16 C22:O26">
    <cfRule type="cellIs" dxfId="59" priority="106" operator="between">
      <formula>0</formula>
      <formula>0.299999</formula>
    </cfRule>
    <cfRule type="cellIs" dxfId="58" priority="107" operator="between">
      <formula>0.6999999</formula>
      <formula>0.3</formula>
    </cfRule>
    <cfRule type="cellIs" dxfId="57" priority="108" operator="between">
      <formula>0.7</formula>
      <formula>1</formula>
    </cfRule>
  </conditionalFormatting>
  <conditionalFormatting sqref="Q25:S25">
    <cfRule type="beginsWith" dxfId="56" priority="31" stopIfTrue="1" operator="beginsWith" text="Functioning At Risk">
      <formula>LEFT(Q25,LEN("Functioning At Risk"))="Functioning At Risk"</formula>
    </cfRule>
    <cfRule type="beginsWith" dxfId="55" priority="32" stopIfTrue="1" operator="beginsWith" text="Not Functioning">
      <formula>LEFT(Q25,LEN("Not Functioning"))="Not Functioning"</formula>
    </cfRule>
    <cfRule type="containsText" dxfId="54" priority="33" operator="containsText" text="Functioning">
      <formula>NOT(ISERROR(SEARCH("Functioning",Q25)))</formula>
    </cfRule>
  </conditionalFormatting>
  <conditionalFormatting sqref="P25">
    <cfRule type="beginsWith" dxfId="53" priority="28" stopIfTrue="1" operator="beginsWith" text="Functioning At Risk">
      <formula>LEFT(P25,LEN("Functioning At Risk"))="Functioning At Risk"</formula>
    </cfRule>
    <cfRule type="beginsWith" dxfId="52" priority="29" stopIfTrue="1" operator="beginsWith" text="Not Functioning">
      <formula>LEFT(P25,LEN("Not Functioning"))="Not Functioning"</formula>
    </cfRule>
    <cfRule type="containsText" dxfId="51" priority="30" operator="containsText" text="Functioning">
      <formula>NOT(ISERROR(SEARCH("Functioning",P25)))</formula>
    </cfRule>
  </conditionalFormatting>
  <conditionalFormatting sqref="P20:P21">
    <cfRule type="beginsWith" dxfId="50" priority="64" stopIfTrue="1" operator="beginsWith" text="Functioning At Risk">
      <formula>LEFT(P20,LEN("Functioning At Risk"))="Functioning At Risk"</formula>
    </cfRule>
    <cfRule type="beginsWith" dxfId="49" priority="65" stopIfTrue="1" operator="beginsWith" text="Not Functioning">
      <formula>LEFT(P20,LEN("Not Functioning"))="Not Functioning"</formula>
    </cfRule>
    <cfRule type="containsText" dxfId="48" priority="66" operator="containsText" text="Functioning">
      <formula>NOT(ISERROR(SEARCH("Functioning",P20)))</formula>
    </cfRule>
  </conditionalFormatting>
  <conditionalFormatting sqref="A19">
    <cfRule type="beginsWith" dxfId="47" priority="58" stopIfTrue="1" operator="beginsWith" text="Functioning At Risk">
      <formula>LEFT(A19,LEN("Functioning At Risk"))="Functioning At Risk"</formula>
    </cfRule>
    <cfRule type="beginsWith" dxfId="46" priority="59" stopIfTrue="1" operator="beginsWith" text="Not Functioning">
      <formula>LEFT(A19,LEN("Not Functioning"))="Not Functioning"</formula>
    </cfRule>
    <cfRule type="containsText" dxfId="45" priority="60" operator="containsText" text="Functioning">
      <formula>NOT(ISERROR(SEARCH("Functioning",A19)))</formula>
    </cfRule>
  </conditionalFormatting>
  <conditionalFormatting sqref="A25">
    <cfRule type="beginsWith" dxfId="44" priority="55" stopIfTrue="1" operator="beginsWith" text="Functioning At Risk">
      <formula>LEFT(A25,LEN("Functioning At Risk"))="Functioning At Risk"</formula>
    </cfRule>
    <cfRule type="beginsWith" dxfId="43" priority="56" stopIfTrue="1" operator="beginsWith" text="Not Functioning">
      <formula>LEFT(A25,LEN("Not Functioning"))="Not Functioning"</formula>
    </cfRule>
    <cfRule type="containsText" dxfId="42" priority="57" operator="containsText" text="Functioning">
      <formula>NOT(ISERROR(SEARCH("Functioning",A25)))</formula>
    </cfRule>
  </conditionalFormatting>
  <conditionalFormatting sqref="A24">
    <cfRule type="beginsWith" dxfId="41" priority="52" stopIfTrue="1" operator="beginsWith" text="Functioning At Risk">
      <formula>LEFT(A24,LEN("Functioning At Risk"))="Functioning At Risk"</formula>
    </cfRule>
    <cfRule type="beginsWith" dxfId="40" priority="53" stopIfTrue="1" operator="beginsWith" text="Not Functioning">
      <formula>LEFT(A24,LEN("Not Functioning"))="Not Functioning"</formula>
    </cfRule>
    <cfRule type="containsText" dxfId="39" priority="54" operator="containsText" text="Functioning">
      <formula>NOT(ISERROR(SEARCH("Functioning",A24)))</formula>
    </cfRule>
  </conditionalFormatting>
  <conditionalFormatting sqref="A23">
    <cfRule type="beginsWith" dxfId="38" priority="49" stopIfTrue="1" operator="beginsWith" text="Functioning At Risk">
      <formula>LEFT(A23,LEN("Functioning At Risk"))="Functioning At Risk"</formula>
    </cfRule>
    <cfRule type="beginsWith" dxfId="37" priority="50" stopIfTrue="1" operator="beginsWith" text="Not Functioning">
      <formula>LEFT(A23,LEN("Not Functioning"))="Not Functioning"</formula>
    </cfRule>
    <cfRule type="containsText" dxfId="36" priority="51" operator="containsText" text="Functioning">
      <formula>NOT(ISERROR(SEARCH("Functioning",A23)))</formula>
    </cfRule>
  </conditionalFormatting>
  <conditionalFormatting sqref="A26">
    <cfRule type="beginsWith" dxfId="35" priority="40" stopIfTrue="1" operator="beginsWith" text="Functioning At Risk">
      <formula>LEFT(A26,LEN("Functioning At Risk"))="Functioning At Risk"</formula>
    </cfRule>
    <cfRule type="beginsWith" dxfId="34" priority="41" stopIfTrue="1" operator="beginsWith" text="Not Functioning">
      <formula>LEFT(A26,LEN("Not Functioning"))="Not Functioning"</formula>
    </cfRule>
    <cfRule type="containsText" dxfId="33" priority="42" operator="containsText" text="Functioning">
      <formula>NOT(ISERROR(SEARCH("Functioning",A26)))</formula>
    </cfRule>
  </conditionalFormatting>
  <conditionalFormatting sqref="P26:S26 P23:S24">
    <cfRule type="beginsWith" dxfId="32" priority="37" stopIfTrue="1" operator="beginsWith" text="Functioning At Risk">
      <formula>LEFT(P23,LEN("Functioning At Risk"))="Functioning At Risk"</formula>
    </cfRule>
    <cfRule type="beginsWith" dxfId="31" priority="38" stopIfTrue="1" operator="beginsWith" text="Not Functioning">
      <formula>LEFT(P23,LEN("Not Functioning"))="Not Functioning"</formula>
    </cfRule>
    <cfRule type="containsText" dxfId="30" priority="39" operator="containsText" text="Functioning">
      <formula>NOT(ISERROR(SEARCH("Functioning",P23)))</formula>
    </cfRule>
  </conditionalFormatting>
  <conditionalFormatting sqref="F4:O4">
    <cfRule type="containsErrors" dxfId="29" priority="15">
      <formula>ISERROR(F4)</formula>
    </cfRule>
  </conditionalFormatting>
  <conditionalFormatting sqref="F21:O21">
    <cfRule type="containsErrors" dxfId="28" priority="14">
      <formula>ISERROR(F21)</formula>
    </cfRule>
  </conditionalFormatting>
  <conditionalFormatting sqref="E27:O27">
    <cfRule type="containsErrors" dxfId="27" priority="13">
      <formula>ISERROR(E27)</formula>
    </cfRule>
  </conditionalFormatting>
  <conditionalFormatting sqref="B12">
    <cfRule type="beginsWith" dxfId="26" priority="10" stopIfTrue="1" operator="beginsWith" text="Functioning At Risk">
      <formula>LEFT(B12,LEN("Functioning At Risk"))="Functioning At Risk"</formula>
    </cfRule>
    <cfRule type="beginsWith" dxfId="25" priority="11" stopIfTrue="1" operator="beginsWith" text="Not Functioning">
      <formula>LEFT(B12,LEN("Not Functioning"))="Not Functioning"</formula>
    </cfRule>
    <cfRule type="containsText" dxfId="24" priority="12" operator="containsText" text="Functioning">
      <formula>NOT(ISERROR(SEARCH("Functioning",B12)))</formula>
    </cfRule>
  </conditionalFormatting>
  <conditionalFormatting sqref="B15">
    <cfRule type="beginsWith" dxfId="23" priority="7" stopIfTrue="1" operator="beginsWith" text="Functioning At Risk">
      <formula>LEFT(B15,LEN("Functioning At Risk"))="Functioning At Risk"</formula>
    </cfRule>
    <cfRule type="beginsWith" dxfId="22" priority="8" stopIfTrue="1" operator="beginsWith" text="Not Functioning">
      <formula>LEFT(B15,LEN("Not Functioning"))="Not Functioning"</formula>
    </cfRule>
    <cfRule type="containsText" dxfId="21" priority="9" operator="containsText" text="Functioning">
      <formula>NOT(ISERROR(SEARCH("Functioning",B15)))</formula>
    </cfRule>
  </conditionalFormatting>
  <conditionalFormatting sqref="B16">
    <cfRule type="beginsWith" dxfId="20" priority="4" stopIfTrue="1" operator="beginsWith" text="Functioning At Risk">
      <formula>LEFT(B16,LEN("Functioning At Risk"))="Functioning At Risk"</formula>
    </cfRule>
    <cfRule type="beginsWith" dxfId="19" priority="5" stopIfTrue="1" operator="beginsWith" text="Not Functioning">
      <formula>LEFT(B16,LEN("Not Functioning"))="Not Functioning"</formula>
    </cfRule>
    <cfRule type="containsText" dxfId="18" priority="6" operator="containsText" text="Functioning">
      <formula>NOT(ISERROR(SEARCH("Functioning",B16)))</formula>
    </cfRule>
  </conditionalFormatting>
  <conditionalFormatting sqref="B13:B14">
    <cfRule type="beginsWith" dxfId="17" priority="1" stopIfTrue="1" operator="beginsWith" text="Functioning At Risk">
      <formula>LEFT(B13,LEN("Functioning At Risk"))="Functioning At Risk"</formula>
    </cfRule>
    <cfRule type="beginsWith" dxfId="16" priority="2" stopIfTrue="1" operator="beginsWith" text="Not Functioning">
      <formula>LEFT(B13,LEN("Not Functioning"))="Not Functioning"</formula>
    </cfRule>
    <cfRule type="containsText" dxfId="15" priority="3" operator="containsText" text="Functioning">
      <formula>NOT(ISERROR(SEARCH("Functioning",B13)))</formula>
    </cfRule>
  </conditionalFormatting>
  <pageMargins left="0.7" right="0.7" top="0.75" bottom="0.75" header="0.3" footer="0.3"/>
  <pageSetup paperSize="3" orientation="landscape" r:id="rId1"/>
  <headerFooter>
    <oddFooter>&amp;LMiSQT v1
Data Summary</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S829"/>
  <sheetViews>
    <sheetView topLeftCell="Y34" zoomScaleNormal="100" workbookViewId="0">
      <selection activeCell="AJ50" sqref="AJ50"/>
    </sheetView>
  </sheetViews>
  <sheetFormatPr defaultColWidth="9.28515625" defaultRowHeight="15" x14ac:dyDescent="0.25"/>
  <cols>
    <col min="1" max="2" width="11.7109375" customWidth="1"/>
    <col min="3" max="4" width="13.85546875" customWidth="1"/>
    <col min="5" max="8" width="11.7109375" customWidth="1"/>
    <col min="9" max="9" width="11.7109375" style="187" customWidth="1"/>
    <col min="10" max="17" width="11.7109375" customWidth="1"/>
    <col min="18" max="18" width="11.7109375" style="187" customWidth="1"/>
    <col min="19" max="27" width="11.7109375" customWidth="1"/>
    <col min="28" max="28" width="11.7109375" style="178" customWidth="1"/>
    <col min="29" max="36" width="11.7109375" customWidth="1"/>
    <col min="37" max="37" width="11.7109375" style="178" customWidth="1"/>
    <col min="38" max="52" width="11.7109375" customWidth="1"/>
  </cols>
  <sheetData>
    <row r="1" spans="1:44" x14ac:dyDescent="0.25">
      <c r="A1" t="s">
        <v>167</v>
      </c>
    </row>
    <row r="2" spans="1:44" x14ac:dyDescent="0.25">
      <c r="A2" s="12" t="s">
        <v>332</v>
      </c>
    </row>
    <row r="3" spans="1:44" x14ac:dyDescent="0.25">
      <c r="A3" t="s">
        <v>330</v>
      </c>
    </row>
    <row r="5" spans="1:44" ht="15" customHeight="1" x14ac:dyDescent="0.25">
      <c r="B5" s="494" t="s">
        <v>86</v>
      </c>
      <c r="C5" s="494"/>
      <c r="D5" s="494"/>
      <c r="E5" s="494"/>
      <c r="F5" s="494"/>
      <c r="G5" s="494"/>
      <c r="H5" s="494"/>
      <c r="I5" s="188"/>
      <c r="J5" s="103"/>
      <c r="K5" s="494" t="s">
        <v>85</v>
      </c>
      <c r="L5" s="494"/>
      <c r="M5" s="494"/>
      <c r="N5" s="494"/>
      <c r="O5" s="494"/>
      <c r="P5" s="494"/>
      <c r="Q5" s="494"/>
      <c r="R5" s="188"/>
      <c r="T5" s="494" t="s">
        <v>87</v>
      </c>
      <c r="U5" s="494"/>
      <c r="V5" s="494"/>
      <c r="W5" s="494"/>
      <c r="X5" s="494"/>
      <c r="Y5" s="494"/>
      <c r="Z5" s="494"/>
      <c r="AA5" s="494"/>
      <c r="AC5" s="494" t="s">
        <v>88</v>
      </c>
      <c r="AD5" s="494"/>
      <c r="AE5" s="494"/>
      <c r="AF5" s="494"/>
      <c r="AG5" s="494"/>
      <c r="AH5" s="494"/>
      <c r="AI5" s="494"/>
      <c r="AJ5" s="494"/>
      <c r="AK5" s="179"/>
      <c r="AL5" s="494" t="s">
        <v>89</v>
      </c>
      <c r="AM5" s="494"/>
      <c r="AN5" s="494"/>
      <c r="AO5" s="494"/>
      <c r="AP5" s="494"/>
      <c r="AQ5" s="494"/>
      <c r="AR5" s="494"/>
    </row>
    <row r="6" spans="1:44" ht="15" customHeight="1" x14ac:dyDescent="0.25">
      <c r="A6" s="2"/>
      <c r="B6" s="494"/>
      <c r="C6" s="494"/>
      <c r="D6" s="494"/>
      <c r="E6" s="494"/>
      <c r="F6" s="494"/>
      <c r="G6" s="494"/>
      <c r="H6" s="494"/>
      <c r="I6" s="188"/>
      <c r="J6" s="103"/>
      <c r="K6" s="494"/>
      <c r="L6" s="494"/>
      <c r="M6" s="494"/>
      <c r="N6" s="494"/>
      <c r="O6" s="494"/>
      <c r="P6" s="494"/>
      <c r="Q6" s="494"/>
      <c r="R6" s="188"/>
      <c r="T6" s="494"/>
      <c r="U6" s="494"/>
      <c r="V6" s="494"/>
      <c r="W6" s="494"/>
      <c r="X6" s="494"/>
      <c r="Y6" s="494"/>
      <c r="Z6" s="494"/>
      <c r="AA6" s="494"/>
      <c r="AC6" s="494"/>
      <c r="AD6" s="494"/>
      <c r="AE6" s="494"/>
      <c r="AF6" s="494"/>
      <c r="AG6" s="494"/>
      <c r="AH6" s="494"/>
      <c r="AI6" s="494"/>
      <c r="AJ6" s="494"/>
      <c r="AK6" s="179"/>
      <c r="AL6" s="494"/>
      <c r="AM6" s="494"/>
      <c r="AN6" s="494"/>
      <c r="AO6" s="494"/>
      <c r="AP6" s="494"/>
      <c r="AQ6" s="494"/>
      <c r="AR6" s="494"/>
    </row>
    <row r="7" spans="1:44" x14ac:dyDescent="0.25">
      <c r="K7" s="2"/>
      <c r="O7" s="1"/>
      <c r="P7" s="1"/>
      <c r="Q7" s="1"/>
      <c r="R7" s="189"/>
      <c r="S7" s="1"/>
      <c r="T7" s="1"/>
      <c r="U7" s="1"/>
      <c r="V7" s="1"/>
    </row>
    <row r="8" spans="1:44" ht="15.75" thickBot="1" x14ac:dyDescent="0.3">
      <c r="B8" t="s">
        <v>217</v>
      </c>
      <c r="K8" t="s">
        <v>0</v>
      </c>
      <c r="R8" s="189"/>
      <c r="T8" t="s">
        <v>24</v>
      </c>
      <c r="AC8" s="193" t="s">
        <v>269</v>
      </c>
      <c r="AD8" s="193"/>
      <c r="AE8" s="193"/>
      <c r="AF8" s="193"/>
      <c r="AG8" s="193"/>
      <c r="AH8" s="193"/>
      <c r="AI8" s="193"/>
      <c r="AL8" t="s">
        <v>228</v>
      </c>
    </row>
    <row r="9" spans="1:44" x14ac:dyDescent="0.25">
      <c r="B9" s="3" t="s">
        <v>15</v>
      </c>
      <c r="C9" s="242"/>
      <c r="D9" s="138"/>
      <c r="E9" s="138">
        <v>70</v>
      </c>
      <c r="F9" s="138"/>
      <c r="G9" s="138">
        <v>55</v>
      </c>
      <c r="H9" s="139">
        <v>30</v>
      </c>
      <c r="J9" s="102"/>
      <c r="K9" s="3" t="s">
        <v>15</v>
      </c>
      <c r="L9" s="4"/>
      <c r="M9" s="4"/>
      <c r="N9" s="4">
        <v>1.5</v>
      </c>
      <c r="O9" s="104"/>
      <c r="P9" s="4"/>
      <c r="Q9" s="5">
        <v>1</v>
      </c>
      <c r="R9" s="189"/>
      <c r="T9" s="3" t="s">
        <v>15</v>
      </c>
      <c r="U9" s="4">
        <v>0</v>
      </c>
      <c r="V9" s="4"/>
      <c r="W9" s="4"/>
      <c r="X9" s="4"/>
      <c r="Y9" s="4">
        <v>1350</v>
      </c>
      <c r="Z9" s="5">
        <v>2825</v>
      </c>
      <c r="AC9" s="253" t="s">
        <v>93</v>
      </c>
      <c r="AD9" s="254"/>
      <c r="AE9" s="255"/>
      <c r="AF9" s="255">
        <v>66.2</v>
      </c>
      <c r="AG9" s="255"/>
      <c r="AH9" s="255"/>
      <c r="AI9" s="192">
        <v>59</v>
      </c>
      <c r="AL9" s="3" t="s">
        <v>4</v>
      </c>
      <c r="AM9" s="4">
        <v>-9</v>
      </c>
      <c r="AN9" s="4"/>
      <c r="AO9" s="4">
        <v>-4</v>
      </c>
      <c r="AP9" s="4">
        <v>4</v>
      </c>
      <c r="AQ9" s="4"/>
      <c r="AR9" s="5">
        <v>9</v>
      </c>
    </row>
    <row r="10" spans="1:44" ht="15.75" thickBot="1" x14ac:dyDescent="0.3">
      <c r="B10" s="6" t="s">
        <v>16</v>
      </c>
      <c r="C10" s="140">
        <v>0</v>
      </c>
      <c r="D10" s="140">
        <v>0.28999999999999998</v>
      </c>
      <c r="E10" s="141">
        <v>0.3</v>
      </c>
      <c r="F10" s="141">
        <v>0.69</v>
      </c>
      <c r="G10" s="142">
        <v>0.7</v>
      </c>
      <c r="H10" s="143">
        <v>1</v>
      </c>
      <c r="J10" s="1"/>
      <c r="K10" s="6" t="s">
        <v>16</v>
      </c>
      <c r="L10" s="7">
        <v>0</v>
      </c>
      <c r="M10" s="7">
        <v>0.2</v>
      </c>
      <c r="N10" s="8">
        <v>0.3</v>
      </c>
      <c r="O10" s="105">
        <v>0.69</v>
      </c>
      <c r="P10" s="9">
        <v>0.7</v>
      </c>
      <c r="Q10" s="10">
        <v>1</v>
      </c>
      <c r="R10" s="189"/>
      <c r="T10" s="6" t="s">
        <v>16</v>
      </c>
      <c r="U10" s="7">
        <v>0</v>
      </c>
      <c r="V10" s="7">
        <v>0.28999999999999998</v>
      </c>
      <c r="W10" s="8">
        <v>0.3</v>
      </c>
      <c r="X10" s="8">
        <v>0.69</v>
      </c>
      <c r="Y10" s="9">
        <v>0.7</v>
      </c>
      <c r="Z10" s="10">
        <v>1</v>
      </c>
      <c r="AC10" s="256" t="s">
        <v>242</v>
      </c>
      <c r="AD10" s="257"/>
      <c r="AE10" s="193"/>
      <c r="AF10" s="193">
        <v>69.8</v>
      </c>
      <c r="AG10" s="193"/>
      <c r="AH10" s="193"/>
      <c r="AI10" s="258">
        <v>66.2</v>
      </c>
      <c r="AL10" s="6" t="s">
        <v>5</v>
      </c>
      <c r="AM10" s="7">
        <v>0</v>
      </c>
      <c r="AN10" s="7">
        <v>0.28999999999999998</v>
      </c>
      <c r="AO10" s="8">
        <v>0.3</v>
      </c>
      <c r="AP10" s="8">
        <v>0.69</v>
      </c>
      <c r="AQ10" s="9">
        <v>0.7</v>
      </c>
      <c r="AR10" s="10">
        <v>1</v>
      </c>
    </row>
    <row r="11" spans="1:44" ht="15" customHeight="1" x14ac:dyDescent="0.25">
      <c r="R11" s="189"/>
      <c r="U11" s="83" t="s">
        <v>148</v>
      </c>
      <c r="V11" s="83" t="s">
        <v>96</v>
      </c>
      <c r="AC11" s="256" t="s">
        <v>279</v>
      </c>
      <c r="AD11" s="257"/>
      <c r="AE11" s="193"/>
      <c r="AF11" s="193">
        <v>78.8</v>
      </c>
      <c r="AG11" s="193"/>
      <c r="AH11" s="193"/>
      <c r="AI11" s="258">
        <v>69.8</v>
      </c>
    </row>
    <row r="12" spans="1:44" ht="15" customHeight="1" thickBot="1" x14ac:dyDescent="0.3">
      <c r="C12" s="230" t="s">
        <v>361</v>
      </c>
      <c r="D12" s="230" t="s">
        <v>96</v>
      </c>
      <c r="K12" t="s">
        <v>181</v>
      </c>
      <c r="R12" s="189"/>
      <c r="T12" s="83" t="s">
        <v>214</v>
      </c>
      <c r="AC12" s="6" t="s">
        <v>5</v>
      </c>
      <c r="AD12" s="7">
        <v>0</v>
      </c>
      <c r="AE12" s="7">
        <v>0.28999999999999998</v>
      </c>
      <c r="AF12" s="8">
        <v>0.3</v>
      </c>
      <c r="AG12" s="8">
        <v>0.69</v>
      </c>
      <c r="AH12" s="9">
        <v>0.7</v>
      </c>
      <c r="AI12" s="10">
        <v>1</v>
      </c>
      <c r="AM12" t="s">
        <v>214</v>
      </c>
    </row>
    <row r="13" spans="1:44" ht="15" customHeight="1" x14ac:dyDescent="0.25">
      <c r="B13" t="s">
        <v>181</v>
      </c>
      <c r="K13" s="11" t="s">
        <v>142</v>
      </c>
      <c r="L13">
        <v>-1.4</v>
      </c>
      <c r="R13" s="189"/>
      <c r="T13" s="11" t="s">
        <v>142</v>
      </c>
      <c r="U13">
        <v>5.1900000000000004E-4</v>
      </c>
      <c r="V13">
        <v>2.03E-4</v>
      </c>
      <c r="AE13" s="104"/>
      <c r="AL13" s="11" t="s">
        <v>142</v>
      </c>
      <c r="AM13">
        <v>5.4433000000000002E-2</v>
      </c>
    </row>
    <row r="14" spans="1:44" x14ac:dyDescent="0.25">
      <c r="B14" s="230" t="s">
        <v>142</v>
      </c>
      <c r="C14">
        <v>-2.6667E-2</v>
      </c>
      <c r="D14">
        <v>-1.2E-2</v>
      </c>
      <c r="K14" s="11" t="s">
        <v>143</v>
      </c>
      <c r="L14">
        <v>2.4</v>
      </c>
      <c r="R14" s="189"/>
      <c r="T14" s="11" t="s">
        <v>143</v>
      </c>
      <c r="U14">
        <v>0</v>
      </c>
      <c r="V14">
        <v>0.42542400000000002</v>
      </c>
      <c r="AD14" s="193" t="str">
        <f>AC9</f>
        <v>Coldwater</v>
      </c>
      <c r="AE14" s="193" t="s">
        <v>242</v>
      </c>
      <c r="AF14" s="193" t="str">
        <f>AC11</f>
        <v>Warm &amp; Warm-transitional</v>
      </c>
      <c r="AL14" s="11" t="s">
        <v>143</v>
      </c>
      <c r="AM14">
        <v>0.4975</v>
      </c>
    </row>
    <row r="15" spans="1:44" x14ac:dyDescent="0.25">
      <c r="B15" s="230" t="s">
        <v>143</v>
      </c>
      <c r="C15">
        <v>2.1666669999999999</v>
      </c>
      <c r="D15">
        <v>1.36</v>
      </c>
      <c r="K15" s="11"/>
      <c r="N15" s="12"/>
      <c r="R15" s="189"/>
      <c r="T15" s="11"/>
      <c r="V15" s="12"/>
      <c r="AC15" s="252" t="s">
        <v>214</v>
      </c>
      <c r="AE15" s="193"/>
      <c r="AL15" s="11"/>
      <c r="AO15" s="12"/>
    </row>
    <row r="16" spans="1:44" x14ac:dyDescent="0.25">
      <c r="D16" s="12"/>
      <c r="M16" s="12"/>
      <c r="R16" s="189"/>
      <c r="AC16" s="11" t="s">
        <v>142</v>
      </c>
      <c r="AD16">
        <v>-9.7222000000000003E-2</v>
      </c>
      <c r="AE16">
        <v>-0.19439999999999999</v>
      </c>
      <c r="AF16" s="193">
        <v>-7.7799999999999994E-2</v>
      </c>
      <c r="AN16" s="12"/>
    </row>
    <row r="17" spans="18:32" x14ac:dyDescent="0.25">
      <c r="R17" s="189"/>
      <c r="AC17" s="11" t="s">
        <v>143</v>
      </c>
      <c r="AD17">
        <v>6.7361110000000002</v>
      </c>
      <c r="AE17">
        <v>13.872</v>
      </c>
      <c r="AF17" s="193">
        <v>6.4288999999999996</v>
      </c>
    </row>
    <row r="18" spans="18:32" x14ac:dyDescent="0.25">
      <c r="R18" s="189"/>
      <c r="AC18" s="190"/>
      <c r="AE18" s="259"/>
    </row>
    <row r="19" spans="18:32" x14ac:dyDescent="0.25">
      <c r="R19" s="189"/>
    </row>
    <row r="20" spans="18:32" x14ac:dyDescent="0.25">
      <c r="R20" s="189"/>
    </row>
    <row r="21" spans="18:32" x14ac:dyDescent="0.25">
      <c r="R21" s="189"/>
    </row>
    <row r="22" spans="18:32" x14ac:dyDescent="0.25">
      <c r="R22" s="189"/>
    </row>
    <row r="23" spans="18:32" x14ac:dyDescent="0.25">
      <c r="R23" s="189"/>
    </row>
    <row r="24" spans="18:32" x14ac:dyDescent="0.25">
      <c r="R24" s="189"/>
    </row>
    <row r="25" spans="18:32" x14ac:dyDescent="0.25">
      <c r="R25" s="189"/>
    </row>
    <row r="26" spans="18:32" x14ac:dyDescent="0.25">
      <c r="R26" s="189"/>
    </row>
    <row r="27" spans="18:32" x14ac:dyDescent="0.25">
      <c r="R27" s="189"/>
    </row>
    <row r="28" spans="18:32" x14ac:dyDescent="0.25">
      <c r="R28" s="189"/>
    </row>
    <row r="29" spans="18:32" x14ac:dyDescent="0.25">
      <c r="R29" s="189"/>
    </row>
    <row r="30" spans="18:32" x14ac:dyDescent="0.25">
      <c r="R30" s="189"/>
    </row>
    <row r="31" spans="18:32" x14ac:dyDescent="0.25">
      <c r="R31" s="189"/>
    </row>
    <row r="32" spans="18:32" x14ac:dyDescent="0.25">
      <c r="R32" s="189"/>
    </row>
    <row r="33" spans="2:44" x14ac:dyDescent="0.25">
      <c r="R33" s="189"/>
    </row>
    <row r="34" spans="2:44" x14ac:dyDescent="0.25">
      <c r="R34" s="189"/>
    </row>
    <row r="35" spans="2:44" x14ac:dyDescent="0.25">
      <c r="R35" s="189"/>
    </row>
    <row r="36" spans="2:44" x14ac:dyDescent="0.25">
      <c r="R36" s="189"/>
    </row>
    <row r="37" spans="2:44" x14ac:dyDescent="0.25">
      <c r="R37" s="189"/>
    </row>
    <row r="38" spans="2:44" x14ac:dyDescent="0.25">
      <c r="R38" s="189"/>
    </row>
    <row r="39" spans="2:44" x14ac:dyDescent="0.25">
      <c r="R39" s="189"/>
    </row>
    <row r="40" spans="2:44" x14ac:dyDescent="0.25">
      <c r="R40" s="189"/>
    </row>
    <row r="41" spans="2:44" ht="15.75" thickBot="1" x14ac:dyDescent="0.3">
      <c r="R41" s="189"/>
      <c r="AJ41" s="86"/>
      <c r="AL41" t="s">
        <v>248</v>
      </c>
    </row>
    <row r="42" spans="2:44" ht="15.75" thickBot="1" x14ac:dyDescent="0.3">
      <c r="B42" t="s">
        <v>169</v>
      </c>
      <c r="K42" t="s">
        <v>14</v>
      </c>
      <c r="R42" s="189"/>
      <c r="T42" t="s">
        <v>108</v>
      </c>
      <c r="AL42" s="3" t="s">
        <v>4</v>
      </c>
      <c r="AM42" s="4">
        <v>0</v>
      </c>
      <c r="AN42" s="4"/>
      <c r="AO42" s="4">
        <v>25</v>
      </c>
      <c r="AP42" s="4">
        <v>75</v>
      </c>
      <c r="AQ42" s="4"/>
      <c r="AR42" s="5">
        <v>100</v>
      </c>
    </row>
    <row r="43" spans="2:44" ht="15.75" thickBot="1" x14ac:dyDescent="0.3">
      <c r="B43" s="3" t="s">
        <v>15</v>
      </c>
      <c r="C43" s="138"/>
      <c r="D43" s="138"/>
      <c r="E43" s="138"/>
      <c r="F43" s="138"/>
      <c r="G43" s="138">
        <v>1</v>
      </c>
      <c r="H43" s="139">
        <v>0</v>
      </c>
      <c r="I43" s="227"/>
      <c r="K43" s="3" t="s">
        <v>15</v>
      </c>
      <c r="L43" s="4"/>
      <c r="M43" s="4"/>
      <c r="N43" s="4">
        <v>2</v>
      </c>
      <c r="O43" s="4"/>
      <c r="P43" s="4">
        <v>2.4</v>
      </c>
      <c r="Q43" s="5">
        <v>5</v>
      </c>
      <c r="R43" s="189"/>
      <c r="T43" s="3" t="s">
        <v>15</v>
      </c>
      <c r="U43" s="4">
        <v>75</v>
      </c>
      <c r="V43" s="4"/>
      <c r="W43" s="4"/>
      <c r="X43" s="4"/>
      <c r="Y43" s="4">
        <v>10</v>
      </c>
      <c r="Z43" s="5">
        <v>5</v>
      </c>
      <c r="AC43" t="s">
        <v>280</v>
      </c>
      <c r="AL43" s="6" t="s">
        <v>5</v>
      </c>
      <c r="AM43" s="7">
        <v>0</v>
      </c>
      <c r="AN43" s="7">
        <v>0.28999999999999998</v>
      </c>
      <c r="AO43" s="8">
        <v>0.3</v>
      </c>
      <c r="AP43" s="8">
        <v>0.69</v>
      </c>
      <c r="AQ43" s="9">
        <v>0.7</v>
      </c>
      <c r="AR43" s="10">
        <v>1</v>
      </c>
    </row>
    <row r="44" spans="2:44" ht="15.75" thickBot="1" x14ac:dyDescent="0.3">
      <c r="B44" s="6" t="s">
        <v>16</v>
      </c>
      <c r="C44" s="7">
        <v>0</v>
      </c>
      <c r="D44" s="7">
        <v>0.28999999999999998</v>
      </c>
      <c r="E44" s="8">
        <v>0.3</v>
      </c>
      <c r="F44" s="8">
        <v>0.69</v>
      </c>
      <c r="G44" s="9">
        <v>0.7</v>
      </c>
      <c r="H44" s="10">
        <v>1</v>
      </c>
      <c r="I44" s="227"/>
      <c r="K44" s="6" t="s">
        <v>16</v>
      </c>
      <c r="L44" s="7">
        <v>0</v>
      </c>
      <c r="M44" s="7">
        <v>0.28999999999999998</v>
      </c>
      <c r="N44" s="8">
        <v>0.3</v>
      </c>
      <c r="O44" s="8">
        <v>0.6</v>
      </c>
      <c r="P44" s="9">
        <v>0.7</v>
      </c>
      <c r="Q44" s="10">
        <v>1</v>
      </c>
      <c r="R44" s="189"/>
      <c r="T44" s="6" t="s">
        <v>16</v>
      </c>
      <c r="U44" s="7">
        <v>0</v>
      </c>
      <c r="V44" s="7">
        <v>0.28999999999999998</v>
      </c>
      <c r="W44" s="8">
        <v>0.3</v>
      </c>
      <c r="X44" s="8">
        <v>0.69</v>
      </c>
      <c r="Y44" s="9">
        <v>0.7</v>
      </c>
      <c r="Z44" s="10">
        <v>1</v>
      </c>
      <c r="AC44" s="3" t="s">
        <v>4</v>
      </c>
      <c r="AD44" s="170">
        <v>4500</v>
      </c>
      <c r="AE44" s="37"/>
      <c r="AF44" s="4">
        <v>1000</v>
      </c>
      <c r="AG44" s="37"/>
      <c r="AH44" s="170">
        <v>300</v>
      </c>
      <c r="AI44" s="5">
        <v>10</v>
      </c>
    </row>
    <row r="45" spans="2:44" ht="15.75" thickBot="1" x14ac:dyDescent="0.3">
      <c r="I45" s="227"/>
      <c r="R45" s="189"/>
      <c r="AC45" s="6" t="s">
        <v>5</v>
      </c>
      <c r="AD45" s="7">
        <v>0</v>
      </c>
      <c r="AE45" s="7">
        <v>0.28999999999999998</v>
      </c>
      <c r="AF45" s="8">
        <v>0.3</v>
      </c>
      <c r="AG45" s="8">
        <v>0.69</v>
      </c>
      <c r="AH45" s="9">
        <v>0.7</v>
      </c>
      <c r="AI45" s="10">
        <v>1</v>
      </c>
      <c r="AM45" t="s">
        <v>214</v>
      </c>
    </row>
    <row r="46" spans="2:44" x14ac:dyDescent="0.25">
      <c r="B46" t="s">
        <v>181</v>
      </c>
      <c r="J46" s="1"/>
      <c r="K46" t="s">
        <v>181</v>
      </c>
      <c r="R46" s="189"/>
      <c r="T46" s="183"/>
      <c r="U46" s="182" t="s">
        <v>361</v>
      </c>
      <c r="V46" s="183" t="s">
        <v>96</v>
      </c>
      <c r="AF46" s="86"/>
      <c r="AG46" s="86"/>
      <c r="AH46" s="86"/>
      <c r="AI46" s="86"/>
      <c r="AL46" s="11" t="s">
        <v>142</v>
      </c>
      <c r="AM46">
        <v>9.5999999999999992E-3</v>
      </c>
    </row>
    <row r="47" spans="2:44" x14ac:dyDescent="0.25">
      <c r="B47" s="230" t="s">
        <v>142</v>
      </c>
      <c r="C47">
        <v>-0.3</v>
      </c>
      <c r="J47" s="1"/>
      <c r="L47" s="11" t="s">
        <v>96</v>
      </c>
      <c r="M47" s="11" t="s">
        <v>166</v>
      </c>
      <c r="R47" s="189"/>
      <c r="T47" t="s">
        <v>310</v>
      </c>
      <c r="U47" s="184"/>
      <c r="V47" s="184"/>
      <c r="AD47" t="s">
        <v>144</v>
      </c>
      <c r="AE47" t="s">
        <v>145</v>
      </c>
      <c r="AF47" s="86"/>
      <c r="AG47" s="86"/>
      <c r="AH47" s="86"/>
      <c r="AI47" s="86"/>
      <c r="AL47" s="11" t="s">
        <v>143</v>
      </c>
      <c r="AM47">
        <v>1.95E-2</v>
      </c>
    </row>
    <row r="48" spans="2:44" x14ac:dyDescent="0.25">
      <c r="B48" s="230" t="s">
        <v>143</v>
      </c>
      <c r="C48">
        <v>1</v>
      </c>
      <c r="K48" s="11" t="s">
        <v>142</v>
      </c>
      <c r="L48">
        <v>0.1154</v>
      </c>
      <c r="M48">
        <v>1</v>
      </c>
      <c r="R48" s="189"/>
      <c r="T48" s="181" t="s">
        <v>142</v>
      </c>
      <c r="U48" s="184">
        <v>-1.0800000000000001E-2</v>
      </c>
      <c r="V48" s="184">
        <v>-0.06</v>
      </c>
      <c r="AC48" t="s">
        <v>184</v>
      </c>
      <c r="AL48" s="11"/>
    </row>
    <row r="49" spans="4:41" x14ac:dyDescent="0.25">
      <c r="K49" s="11" t="s">
        <v>143</v>
      </c>
      <c r="L49">
        <v>0.42309999999999998</v>
      </c>
      <c r="M49">
        <v>-1.7</v>
      </c>
      <c r="R49" s="189"/>
      <c r="T49" s="181" t="s">
        <v>143</v>
      </c>
      <c r="U49" s="184">
        <v>0.80769999999999997</v>
      </c>
      <c r="V49" s="185">
        <v>1.3</v>
      </c>
      <c r="AC49" s="11" t="s">
        <v>142</v>
      </c>
      <c r="AD49">
        <f>4.7*10^(-7)</f>
        <v>4.7E-7</v>
      </c>
      <c r="AO49" s="12"/>
    </row>
    <row r="50" spans="4:41" x14ac:dyDescent="0.25">
      <c r="D50" s="12"/>
      <c r="K50" s="11"/>
      <c r="M50" s="12"/>
      <c r="T50" s="11"/>
      <c r="V50" s="12"/>
      <c r="AC50" s="11" t="s">
        <v>143</v>
      </c>
      <c r="AD50">
        <f>-0.00117948</f>
        <v>-1.1794799999999999E-3</v>
      </c>
      <c r="AE50">
        <f>-8.6*10^-5</f>
        <v>-8.6000000000000003E-5</v>
      </c>
      <c r="AN50" s="12"/>
    </row>
    <row r="51" spans="4:41" x14ac:dyDescent="0.25">
      <c r="AC51" s="11" t="s">
        <v>146</v>
      </c>
      <c r="AD51">
        <v>1.01174802</v>
      </c>
      <c r="AE51">
        <v>0.385714</v>
      </c>
    </row>
    <row r="65" spans="2:44" x14ac:dyDescent="0.25">
      <c r="K65" s="2"/>
    </row>
    <row r="75" spans="2:44" ht="15.75" thickBot="1" x14ac:dyDescent="0.3">
      <c r="AL75" t="s">
        <v>382</v>
      </c>
    </row>
    <row r="76" spans="2:44" ht="15.75" thickBot="1" x14ac:dyDescent="0.3">
      <c r="T76" t="s">
        <v>336</v>
      </c>
      <c r="AL76" s="3" t="s">
        <v>4</v>
      </c>
      <c r="AM76" s="4">
        <v>-10</v>
      </c>
      <c r="AN76" s="84"/>
      <c r="AO76" s="4">
        <v>-4</v>
      </c>
      <c r="AP76" s="4">
        <v>4</v>
      </c>
      <c r="AQ76" s="4"/>
      <c r="AR76" s="5">
        <v>10</v>
      </c>
    </row>
    <row r="77" spans="2:44" ht="15.75" thickBot="1" x14ac:dyDescent="0.3">
      <c r="B77" t="s">
        <v>363</v>
      </c>
      <c r="K77" t="s">
        <v>111</v>
      </c>
      <c r="T77" s="3" t="s">
        <v>15</v>
      </c>
      <c r="U77" s="4">
        <v>30</v>
      </c>
      <c r="V77" s="97"/>
      <c r="W77" s="4">
        <v>21</v>
      </c>
      <c r="X77" s="167"/>
      <c r="Y77" s="4">
        <v>9</v>
      </c>
      <c r="Z77" s="5">
        <v>0</v>
      </c>
      <c r="AL77" s="6" t="s">
        <v>5</v>
      </c>
      <c r="AM77" s="7">
        <v>0</v>
      </c>
      <c r="AN77" s="7">
        <v>0.28999999999999998</v>
      </c>
      <c r="AO77" s="8">
        <v>0.3</v>
      </c>
      <c r="AP77" s="8">
        <v>0.69</v>
      </c>
      <c r="AQ77" s="9">
        <v>0.7</v>
      </c>
      <c r="AR77" s="10">
        <v>1</v>
      </c>
    </row>
    <row r="78" spans="2:44" ht="15.75" thickBot="1" x14ac:dyDescent="0.3">
      <c r="B78" s="3" t="s">
        <v>15</v>
      </c>
      <c r="C78" s="82">
        <v>60</v>
      </c>
      <c r="D78" s="4"/>
      <c r="E78" s="82">
        <v>20</v>
      </c>
      <c r="F78" s="4"/>
      <c r="G78" s="4">
        <v>5</v>
      </c>
      <c r="H78" s="5">
        <v>0</v>
      </c>
      <c r="I78" s="189"/>
      <c r="K78" s="3" t="s">
        <v>15</v>
      </c>
      <c r="L78" s="4"/>
      <c r="M78" s="4"/>
      <c r="N78" s="4">
        <v>1.2</v>
      </c>
      <c r="O78" s="4"/>
      <c r="P78" s="4">
        <v>1.4</v>
      </c>
      <c r="Q78" s="5">
        <v>2.2000000000000002</v>
      </c>
      <c r="T78" s="6" t="s">
        <v>16</v>
      </c>
      <c r="U78" s="7">
        <v>0</v>
      </c>
      <c r="V78" s="7">
        <v>0.28999999999999998</v>
      </c>
      <c r="W78" s="8">
        <v>0.3</v>
      </c>
      <c r="X78" s="8">
        <v>0.69</v>
      </c>
      <c r="Y78" s="9">
        <v>0.7</v>
      </c>
      <c r="Z78" s="10">
        <v>1</v>
      </c>
      <c r="AB78" s="201"/>
      <c r="AJ78" s="193"/>
    </row>
    <row r="79" spans="2:44" ht="15.75" thickBot="1" x14ac:dyDescent="0.3">
      <c r="B79" s="6" t="s">
        <v>16</v>
      </c>
      <c r="C79" s="7">
        <v>0.01</v>
      </c>
      <c r="D79" s="7">
        <v>0.28999999999999998</v>
      </c>
      <c r="E79" s="8">
        <v>0.3</v>
      </c>
      <c r="F79" s="8">
        <v>0.69</v>
      </c>
      <c r="G79" s="9">
        <v>0.7</v>
      </c>
      <c r="H79" s="10">
        <v>1</v>
      </c>
      <c r="I79" s="189"/>
      <c r="K79" s="6" t="s">
        <v>16</v>
      </c>
      <c r="L79" s="7">
        <v>0</v>
      </c>
      <c r="M79" s="7">
        <v>0.28999999999999998</v>
      </c>
      <c r="N79" s="8">
        <v>0.3</v>
      </c>
      <c r="O79" s="8">
        <v>0.69</v>
      </c>
      <c r="P79" s="9">
        <v>0.7</v>
      </c>
      <c r="Q79" s="10">
        <v>1</v>
      </c>
      <c r="AC79" s="193" t="s">
        <v>343</v>
      </c>
      <c r="AD79" s="193"/>
      <c r="AE79" s="193"/>
      <c r="AF79" s="193"/>
      <c r="AG79" s="193"/>
      <c r="AH79" s="193"/>
      <c r="AI79" s="193"/>
      <c r="AM79" s="83" t="s">
        <v>214</v>
      </c>
    </row>
    <row r="80" spans="2:44" x14ac:dyDescent="0.25">
      <c r="I80" s="189"/>
      <c r="T80" t="s">
        <v>181</v>
      </c>
      <c r="AC80" s="160" t="s">
        <v>268</v>
      </c>
      <c r="AD80" s="4">
        <v>151</v>
      </c>
      <c r="AE80" s="4"/>
      <c r="AF80" s="4">
        <v>50</v>
      </c>
      <c r="AG80" s="4"/>
      <c r="AH80" s="4">
        <v>12</v>
      </c>
      <c r="AI80" s="5">
        <v>3.9</v>
      </c>
      <c r="AL80" s="11" t="s">
        <v>142</v>
      </c>
      <c r="AM80">
        <v>4.9827999999999997E-2</v>
      </c>
      <c r="AP80" s="83"/>
    </row>
    <row r="81" spans="2:41" x14ac:dyDescent="0.25">
      <c r="C81" s="226" t="s">
        <v>96</v>
      </c>
      <c r="D81" s="226" t="s">
        <v>362</v>
      </c>
      <c r="K81" t="s">
        <v>181</v>
      </c>
      <c r="T81" s="11" t="s">
        <v>142</v>
      </c>
      <c r="U81">
        <v>-3.3329999999999999E-2</v>
      </c>
      <c r="AC81" s="159" t="s">
        <v>328</v>
      </c>
      <c r="AD81" s="1">
        <v>186</v>
      </c>
      <c r="AE81" s="1"/>
      <c r="AF81" s="1">
        <v>90</v>
      </c>
      <c r="AG81" s="1"/>
      <c r="AH81" s="1">
        <v>30</v>
      </c>
      <c r="AI81" s="36">
        <v>12.5</v>
      </c>
      <c r="AL81" s="11" t="s">
        <v>143</v>
      </c>
      <c r="AM81">
        <v>0.4975</v>
      </c>
      <c r="AN81" s="12"/>
      <c r="AO81" s="12"/>
    </row>
    <row r="82" spans="2:41" ht="15.75" thickBot="1" x14ac:dyDescent="0.3">
      <c r="B82" s="83" t="s">
        <v>323</v>
      </c>
      <c r="C82" s="226" t="s">
        <v>324</v>
      </c>
      <c r="D82" s="226" t="s">
        <v>322</v>
      </c>
      <c r="L82" s="11" t="s">
        <v>148</v>
      </c>
      <c r="M82" s="11" t="s">
        <v>96</v>
      </c>
      <c r="T82" s="11" t="s">
        <v>143</v>
      </c>
      <c r="U82">
        <v>1</v>
      </c>
      <c r="AC82" s="6" t="s">
        <v>5</v>
      </c>
      <c r="AD82" s="7">
        <v>0</v>
      </c>
      <c r="AE82" s="7">
        <v>0.28999999999999998</v>
      </c>
      <c r="AF82" s="8">
        <v>0.3</v>
      </c>
      <c r="AG82" s="8">
        <v>0.69</v>
      </c>
      <c r="AH82" s="9">
        <v>0.7</v>
      </c>
      <c r="AI82" s="10">
        <v>1</v>
      </c>
      <c r="AL82" s="11"/>
      <c r="AN82" s="12"/>
    </row>
    <row r="83" spans="2:41" x14ac:dyDescent="0.25">
      <c r="B83" s="230" t="s">
        <v>142</v>
      </c>
      <c r="C83" s="226">
        <v>-0.06</v>
      </c>
      <c r="D83" s="226">
        <v>-0.278142</v>
      </c>
      <c r="K83" s="11" t="s">
        <v>142</v>
      </c>
      <c r="L83">
        <v>2</v>
      </c>
      <c r="M83">
        <v>0.375</v>
      </c>
      <c r="T83" s="11"/>
      <c r="W83" s="13"/>
      <c r="AJ83" s="193"/>
      <c r="AL83" s="11"/>
    </row>
    <row r="84" spans="2:41" x14ac:dyDescent="0.25">
      <c r="B84" s="230" t="s">
        <v>143</v>
      </c>
      <c r="C84" s="226">
        <v>1</v>
      </c>
      <c r="D84" s="226">
        <v>1.1432340000000001</v>
      </c>
      <c r="K84" s="11" t="s">
        <v>143</v>
      </c>
      <c r="L84">
        <v>-2.1</v>
      </c>
      <c r="M84">
        <v>0.17499999999999999</v>
      </c>
      <c r="T84" s="11"/>
      <c r="W84" s="12"/>
      <c r="AC84" s="193" t="s">
        <v>181</v>
      </c>
      <c r="AD84" s="203" t="str">
        <f>AC80</f>
        <v>Northern Lakes and Forests &amp; North Central Hardwood Forests</v>
      </c>
      <c r="AE84" s="203"/>
      <c r="AG84" s="203" t="str">
        <f>AC81</f>
        <v>Southern Michigan/ Northern Indiana Drift Plains</v>
      </c>
      <c r="AH84" s="203"/>
      <c r="AI84" s="203"/>
      <c r="AJ84" s="193"/>
    </row>
    <row r="85" spans="2:41" x14ac:dyDescent="0.25">
      <c r="K85" s="11"/>
      <c r="M85" s="12"/>
      <c r="V85" s="12"/>
      <c r="AC85" s="202"/>
      <c r="AD85" s="202" t="s">
        <v>96</v>
      </c>
      <c r="AE85" s="202" t="s">
        <v>339</v>
      </c>
      <c r="AF85" t="s">
        <v>145</v>
      </c>
      <c r="AG85" s="202" t="s">
        <v>96</v>
      </c>
      <c r="AH85" s="202" t="s">
        <v>339</v>
      </c>
      <c r="AI85" s="202" t="s">
        <v>145</v>
      </c>
      <c r="AJ85" s="193"/>
    </row>
    <row r="86" spans="2:41" x14ac:dyDescent="0.25">
      <c r="D86" s="12"/>
      <c r="AC86" s="202" t="s">
        <v>142</v>
      </c>
      <c r="AD86" s="193">
        <v>-3.6999999999999998E-2</v>
      </c>
      <c r="AE86" s="193">
        <v>-1.0500000000000001E-2</v>
      </c>
      <c r="AF86">
        <v>-3.0000000000000001E-3</v>
      </c>
      <c r="AG86" s="193">
        <v>-1.7100000000000001E-2</v>
      </c>
      <c r="AH86" s="193">
        <v>-6.7000000000000002E-3</v>
      </c>
      <c r="AI86" s="193">
        <v>-3.0999999999999999E-3</v>
      </c>
      <c r="AJ86" s="193"/>
    </row>
    <row r="87" spans="2:41" x14ac:dyDescent="0.25">
      <c r="AC87" s="202" t="s">
        <v>143</v>
      </c>
      <c r="AD87" s="193">
        <v>1.1444000000000001</v>
      </c>
      <c r="AE87" s="193">
        <v>0.82630000000000003</v>
      </c>
      <c r="AF87">
        <v>0.44850000000000001</v>
      </c>
      <c r="AG87" s="193">
        <v>1.2142999999999999</v>
      </c>
      <c r="AH87" s="193">
        <v>0.9</v>
      </c>
      <c r="AI87" s="193">
        <v>0.58130000000000004</v>
      </c>
    </row>
    <row r="88" spans="2:41" x14ac:dyDescent="0.25">
      <c r="AF88" s="12"/>
    </row>
    <row r="89" spans="2:41" x14ac:dyDescent="0.25">
      <c r="AE89" s="12"/>
    </row>
    <row r="96" spans="2:41" x14ac:dyDescent="0.25">
      <c r="O96" s="1"/>
      <c r="P96" s="1"/>
      <c r="Q96" s="1"/>
      <c r="R96" s="189"/>
    </row>
    <row r="97" spans="15:45" x14ac:dyDescent="0.25">
      <c r="O97" s="1"/>
      <c r="P97" s="1"/>
      <c r="Q97" s="1"/>
      <c r="R97" s="189"/>
    </row>
    <row r="102" spans="15:45" x14ac:dyDescent="0.25">
      <c r="O102" s="1"/>
      <c r="P102" s="1"/>
      <c r="Q102" s="1"/>
      <c r="R102" s="189"/>
      <c r="AA102" s="1"/>
    </row>
    <row r="103" spans="15:45" x14ac:dyDescent="0.25">
      <c r="O103" s="1"/>
      <c r="P103" s="1"/>
      <c r="Q103" s="1"/>
      <c r="R103" s="189"/>
    </row>
    <row r="108" spans="15:45" x14ac:dyDescent="0.25">
      <c r="AS108" s="2"/>
    </row>
    <row r="109" spans="15:45" x14ac:dyDescent="0.25">
      <c r="AL109" s="1"/>
      <c r="AM109" s="1"/>
      <c r="AN109" s="1"/>
      <c r="AO109" s="1"/>
      <c r="AP109" s="1"/>
      <c r="AQ109" s="1"/>
      <c r="AR109" s="1"/>
    </row>
    <row r="110" spans="15:45" ht="15.75" thickBot="1" x14ac:dyDescent="0.3">
      <c r="T110" s="193" t="s">
        <v>340</v>
      </c>
      <c r="U110" s="193"/>
      <c r="V110" s="193"/>
      <c r="W110" s="193"/>
      <c r="X110" s="193"/>
      <c r="Y110" s="193"/>
      <c r="Z110" s="193"/>
      <c r="AL110" s="1"/>
      <c r="AM110" s="1"/>
      <c r="AN110" s="1"/>
      <c r="AO110" s="1"/>
      <c r="AP110" s="1"/>
      <c r="AQ110" s="1"/>
      <c r="AR110" s="1"/>
    </row>
    <row r="111" spans="15:45" x14ac:dyDescent="0.25">
      <c r="T111" s="3" t="s">
        <v>15</v>
      </c>
      <c r="U111" s="4">
        <v>0</v>
      </c>
      <c r="V111" s="4"/>
      <c r="W111" s="4">
        <v>25</v>
      </c>
      <c r="X111" s="4"/>
      <c r="Y111" s="4">
        <v>75</v>
      </c>
      <c r="Z111" s="5">
        <v>150</v>
      </c>
      <c r="AJ111" s="193"/>
    </row>
    <row r="112" spans="15:45" ht="15.75" thickBot="1" x14ac:dyDescent="0.3">
      <c r="T112" s="6" t="s">
        <v>16</v>
      </c>
      <c r="U112" s="7">
        <v>0</v>
      </c>
      <c r="V112" s="7">
        <v>0.28999999999999998</v>
      </c>
      <c r="W112" s="8">
        <v>0.3</v>
      </c>
      <c r="X112" s="8">
        <v>0.69</v>
      </c>
      <c r="Y112" s="9">
        <v>0.7</v>
      </c>
      <c r="Z112" s="10">
        <v>1</v>
      </c>
      <c r="AC112" s="193" t="s">
        <v>342</v>
      </c>
      <c r="AD112" s="193"/>
      <c r="AE112" s="193"/>
      <c r="AF112" s="193"/>
      <c r="AG112" s="193"/>
      <c r="AH112" s="193"/>
      <c r="AI112" s="193"/>
      <c r="AM112" s="83"/>
    </row>
    <row r="113" spans="20:42" x14ac:dyDescent="0.25">
      <c r="AC113" s="160" t="s">
        <v>327</v>
      </c>
      <c r="AD113" s="4">
        <v>550</v>
      </c>
      <c r="AE113" s="4"/>
      <c r="AF113" s="4">
        <v>160</v>
      </c>
      <c r="AG113" s="4"/>
      <c r="AH113" s="4">
        <v>70</v>
      </c>
      <c r="AI113" s="5">
        <v>29</v>
      </c>
      <c r="AL113" s="11"/>
      <c r="AP113" s="11"/>
    </row>
    <row r="114" spans="20:42" ht="15.75" thickBot="1" x14ac:dyDescent="0.3">
      <c r="T114" s="83" t="s">
        <v>184</v>
      </c>
      <c r="AC114" s="6" t="s">
        <v>5</v>
      </c>
      <c r="AD114" s="7">
        <v>0</v>
      </c>
      <c r="AE114" s="7">
        <v>0.28999999999999998</v>
      </c>
      <c r="AF114" s="8">
        <v>0.3</v>
      </c>
      <c r="AG114" s="8">
        <v>0.69</v>
      </c>
      <c r="AH114" s="9">
        <v>0.7</v>
      </c>
      <c r="AI114" s="10">
        <v>1</v>
      </c>
      <c r="AL114" s="11"/>
      <c r="AN114" s="12"/>
      <c r="AO114" s="12"/>
    </row>
    <row r="115" spans="20:42" x14ac:dyDescent="0.25">
      <c r="T115" s="11" t="s">
        <v>142</v>
      </c>
      <c r="U115">
        <v>-3.6359999999999997E-5</v>
      </c>
      <c r="AJ115" s="193"/>
      <c r="AL115" s="11"/>
      <c r="AN115" s="12"/>
    </row>
    <row r="116" spans="20:42" x14ac:dyDescent="0.25">
      <c r="T116" s="11" t="s">
        <v>143</v>
      </c>
      <c r="U116">
        <v>1.2060609999999999E-2</v>
      </c>
      <c r="AC116" s="193" t="s">
        <v>181</v>
      </c>
      <c r="AD116" s="203" t="str">
        <f>AC113</f>
        <v>Huron Erie Lake Plains &amp; Eastern Corn Belt Plains</v>
      </c>
      <c r="AE116" s="203"/>
      <c r="AF116" s="203"/>
      <c r="AG116" s="203"/>
      <c r="AJ116" s="193"/>
      <c r="AL116" s="11"/>
    </row>
    <row r="117" spans="20:42" ht="21" x14ac:dyDescent="0.35">
      <c r="T117" s="11" t="s">
        <v>146</v>
      </c>
      <c r="U117">
        <v>7.57576E-3</v>
      </c>
      <c r="X117" s="71"/>
      <c r="AC117" s="202"/>
      <c r="AD117" s="202" t="s">
        <v>96</v>
      </c>
      <c r="AE117" s="202" t="s">
        <v>339</v>
      </c>
      <c r="AF117" s="202" t="s">
        <v>145</v>
      </c>
      <c r="AG117" s="202"/>
      <c r="AJ117" s="193"/>
    </row>
    <row r="118" spans="20:42" x14ac:dyDescent="0.25">
      <c r="V118" s="12"/>
      <c r="Z118" s="12"/>
      <c r="AC118" s="202" t="s">
        <v>142</v>
      </c>
      <c r="AD118" s="193">
        <v>-7.3200000000000001E-3</v>
      </c>
      <c r="AE118" s="193">
        <v>-4.4400000000000004E-3</v>
      </c>
      <c r="AF118" s="193">
        <v>-7.6900000000000004E-4</v>
      </c>
      <c r="AG118" s="193"/>
      <c r="AJ118" s="193"/>
    </row>
    <row r="119" spans="20:42" x14ac:dyDescent="0.25">
      <c r="V119" s="12"/>
      <c r="Z119" s="12"/>
      <c r="AC119" s="202" t="s">
        <v>143</v>
      </c>
      <c r="AD119" s="193">
        <v>1.2121999999999999</v>
      </c>
      <c r="AE119" s="193">
        <v>1.01111</v>
      </c>
      <c r="AF119" s="193">
        <v>0.42307699999999998</v>
      </c>
      <c r="AG119" s="193"/>
    </row>
    <row r="120" spans="20:42" x14ac:dyDescent="0.25">
      <c r="AF120" s="12"/>
    </row>
    <row r="121" spans="20:42" x14ac:dyDescent="0.25">
      <c r="AE121" s="12"/>
    </row>
    <row r="144" spans="20:44" ht="15.75" thickBot="1" x14ac:dyDescent="0.3">
      <c r="T144" s="193" t="s">
        <v>364</v>
      </c>
      <c r="U144" s="193"/>
      <c r="V144" s="193"/>
      <c r="W144" s="193"/>
      <c r="X144" s="193"/>
      <c r="Y144" s="193"/>
      <c r="Z144" s="193"/>
      <c r="AL144" s="1"/>
      <c r="AM144" s="1"/>
      <c r="AN144" s="1"/>
      <c r="AO144" s="1"/>
      <c r="AP144" s="1"/>
      <c r="AQ144" s="1"/>
      <c r="AR144" s="1"/>
    </row>
    <row r="145" spans="19:44" ht="15.75" thickBot="1" x14ac:dyDescent="0.3">
      <c r="T145" s="3" t="s">
        <v>15</v>
      </c>
      <c r="U145" s="4">
        <v>0</v>
      </c>
      <c r="V145" s="4"/>
      <c r="W145" s="4"/>
      <c r="X145" s="4"/>
      <c r="Y145" s="4"/>
      <c r="Z145" s="5">
        <v>12</v>
      </c>
      <c r="AC145" t="s">
        <v>247</v>
      </c>
      <c r="AL145" s="1"/>
      <c r="AM145" s="1"/>
      <c r="AN145" s="1"/>
      <c r="AO145" s="1"/>
      <c r="AP145" s="1"/>
      <c r="AQ145" s="1"/>
      <c r="AR145" s="1"/>
    </row>
    <row r="146" spans="19:44" ht="15.75" thickBot="1" x14ac:dyDescent="0.3">
      <c r="T146" s="6" t="s">
        <v>16</v>
      </c>
      <c r="U146" s="7">
        <v>0</v>
      </c>
      <c r="V146" s="7">
        <v>0.28999999999999998</v>
      </c>
      <c r="W146" s="8">
        <v>0.3</v>
      </c>
      <c r="X146" s="8">
        <v>0.69</v>
      </c>
      <c r="Y146" s="9">
        <v>0.7</v>
      </c>
      <c r="Z146" s="10">
        <v>1</v>
      </c>
      <c r="AC146" s="160" t="s">
        <v>278</v>
      </c>
      <c r="AD146" s="4"/>
      <c r="AE146" s="4"/>
      <c r="AF146" s="4">
        <v>6</v>
      </c>
      <c r="AG146" s="4"/>
      <c r="AH146" s="4">
        <v>7</v>
      </c>
      <c r="AI146" s="5"/>
    </row>
    <row r="147" spans="19:44" x14ac:dyDescent="0.25">
      <c r="S147" s="193"/>
      <c r="AA147" s="193"/>
      <c r="AC147" s="159" t="s">
        <v>279</v>
      </c>
      <c r="AD147" s="1"/>
      <c r="AE147" s="1"/>
      <c r="AF147" s="1">
        <v>4</v>
      </c>
      <c r="AG147" s="1"/>
      <c r="AH147" s="1">
        <v>5</v>
      </c>
      <c r="AI147" s="36"/>
      <c r="AM147" s="83"/>
    </row>
    <row r="148" spans="19:44" ht="15.75" thickBot="1" x14ac:dyDescent="0.3">
      <c r="T148" s="83" t="s">
        <v>181</v>
      </c>
      <c r="U148" s="11"/>
      <c r="V148" s="11"/>
      <c r="AC148" s="6" t="s">
        <v>5</v>
      </c>
      <c r="AD148" s="7">
        <v>0</v>
      </c>
      <c r="AE148" s="7">
        <v>0.28999999999999998</v>
      </c>
      <c r="AF148" s="8">
        <v>0.3</v>
      </c>
      <c r="AG148" s="8">
        <v>0.69</v>
      </c>
      <c r="AH148" s="9">
        <v>0.7</v>
      </c>
      <c r="AI148" s="10">
        <v>1</v>
      </c>
      <c r="AL148" s="11"/>
      <c r="AP148" s="11"/>
    </row>
    <row r="149" spans="19:44" x14ac:dyDescent="0.25">
      <c r="T149" s="11" t="s">
        <v>142</v>
      </c>
      <c r="U149">
        <v>8.3333000000000004E-2</v>
      </c>
      <c r="AL149" s="11"/>
      <c r="AN149" s="12"/>
    </row>
    <row r="150" spans="19:44" x14ac:dyDescent="0.25">
      <c r="T150" s="11" t="s">
        <v>143</v>
      </c>
      <c r="U150">
        <v>0</v>
      </c>
      <c r="AD150" s="306" t="str">
        <f>AC146</f>
        <v>Coldwater &amp; Cold-Transitional</v>
      </c>
      <c r="AE150" s="306" t="str">
        <f>AC147</f>
        <v>Warm &amp; Warm-transitional</v>
      </c>
      <c r="AG150" s="306"/>
      <c r="AL150" s="11"/>
      <c r="AN150" s="12"/>
    </row>
    <row r="151" spans="19:44" x14ac:dyDescent="0.25">
      <c r="T151" s="11"/>
      <c r="V151" s="12"/>
      <c r="AC151" t="s">
        <v>310</v>
      </c>
      <c r="AD151" s="182"/>
      <c r="AE151" s="182"/>
      <c r="AG151" s="183"/>
      <c r="AL151" s="11"/>
    </row>
    <row r="152" spans="19:44" x14ac:dyDescent="0.25">
      <c r="AC152" s="182" t="s">
        <v>142</v>
      </c>
      <c r="AD152">
        <v>0.4</v>
      </c>
      <c r="AE152">
        <v>0.4</v>
      </c>
      <c r="AI152" s="13"/>
    </row>
    <row r="153" spans="19:44" x14ac:dyDescent="0.25">
      <c r="AC153" s="182" t="s">
        <v>143</v>
      </c>
      <c r="AD153">
        <v>-2.1</v>
      </c>
      <c r="AE153">
        <v>-1.3</v>
      </c>
    </row>
    <row r="154" spans="19:44" x14ac:dyDescent="0.25">
      <c r="AF154" s="12"/>
    </row>
    <row r="155" spans="19:44" x14ac:dyDescent="0.25">
      <c r="AE155" s="12"/>
    </row>
    <row r="177" spans="19:44" ht="15.75" thickBot="1" x14ac:dyDescent="0.3">
      <c r="T177" s="193" t="s">
        <v>365</v>
      </c>
      <c r="U177" s="193"/>
      <c r="V177" s="193"/>
      <c r="W177" s="193"/>
      <c r="X177" s="193"/>
      <c r="Y177" s="193"/>
      <c r="Z177" s="193"/>
    </row>
    <row r="178" spans="19:44" x14ac:dyDescent="0.25">
      <c r="T178" s="495" t="s">
        <v>15</v>
      </c>
      <c r="U178" s="4">
        <v>0</v>
      </c>
      <c r="V178" s="4"/>
      <c r="W178" s="4"/>
      <c r="X178" s="4"/>
      <c r="Y178" s="4"/>
      <c r="Z178" s="5">
        <v>95</v>
      </c>
      <c r="AL178" s="1"/>
      <c r="AM178" s="161"/>
      <c r="AN178" s="1"/>
      <c r="AO178" s="1"/>
      <c r="AP178" s="1"/>
      <c r="AQ178" s="1"/>
      <c r="AR178" s="1"/>
    </row>
    <row r="179" spans="19:44" x14ac:dyDescent="0.25">
      <c r="T179" s="496"/>
      <c r="U179" s="186"/>
      <c r="V179" s="186"/>
      <c r="W179" s="186">
        <v>300</v>
      </c>
      <c r="X179" s="186"/>
      <c r="Y179" s="186"/>
      <c r="Z179" s="36">
        <v>200</v>
      </c>
      <c r="AL179" s="1"/>
      <c r="AM179" s="1"/>
      <c r="AN179" s="1"/>
      <c r="AO179" s="1"/>
      <c r="AP179" s="1"/>
      <c r="AQ179" s="1"/>
      <c r="AR179" s="1"/>
    </row>
    <row r="180" spans="19:44" ht="15.75" thickBot="1" x14ac:dyDescent="0.3">
      <c r="T180" s="6" t="s">
        <v>16</v>
      </c>
      <c r="U180" s="7">
        <v>0</v>
      </c>
      <c r="V180" s="7">
        <v>0.28999999999999998</v>
      </c>
      <c r="W180" s="8">
        <v>0.5</v>
      </c>
      <c r="X180" s="8">
        <v>0.69</v>
      </c>
      <c r="Y180" s="9">
        <v>0.7</v>
      </c>
      <c r="Z180" s="10">
        <v>1</v>
      </c>
    </row>
    <row r="181" spans="19:44" x14ac:dyDescent="0.25">
      <c r="S181" s="193"/>
      <c r="AA181" s="193"/>
    </row>
    <row r="182" spans="19:44" x14ac:dyDescent="0.25">
      <c r="U182" s="11" t="s">
        <v>316</v>
      </c>
      <c r="V182" s="11" t="s">
        <v>317</v>
      </c>
      <c r="AL182" s="11"/>
    </row>
    <row r="183" spans="19:44" x14ac:dyDescent="0.25">
      <c r="T183" s="83" t="s">
        <v>214</v>
      </c>
      <c r="AL183" s="11"/>
    </row>
    <row r="184" spans="19:44" x14ac:dyDescent="0.25">
      <c r="T184" s="11" t="s">
        <v>142</v>
      </c>
      <c r="U184">
        <v>1.0526000000000001E-2</v>
      </c>
      <c r="V184">
        <v>-5.0000000000000001E-3</v>
      </c>
    </row>
    <row r="185" spans="19:44" x14ac:dyDescent="0.25">
      <c r="T185" s="11" t="s">
        <v>143</v>
      </c>
      <c r="U185">
        <v>0</v>
      </c>
      <c r="V185">
        <v>2</v>
      </c>
      <c r="AN185" s="12"/>
    </row>
    <row r="186" spans="19:44" x14ac:dyDescent="0.25">
      <c r="T186" s="11"/>
    </row>
    <row r="212" spans="19:44" ht="15.75" thickBot="1" x14ac:dyDescent="0.3">
      <c r="T212" s="193" t="s">
        <v>366</v>
      </c>
      <c r="U212" s="193"/>
      <c r="V212" s="193"/>
      <c r="W212" s="193"/>
      <c r="X212" s="193"/>
      <c r="Y212" s="193"/>
      <c r="Z212" s="193"/>
      <c r="AL212" s="1"/>
      <c r="AM212" s="1"/>
      <c r="AN212" s="1"/>
      <c r="AO212" s="1"/>
      <c r="AP212" s="1"/>
      <c r="AQ212" s="1"/>
      <c r="AR212" s="1"/>
    </row>
    <row r="213" spans="19:44" x14ac:dyDescent="0.25">
      <c r="T213" s="3" t="s">
        <v>347</v>
      </c>
      <c r="U213" s="4">
        <v>0</v>
      </c>
      <c r="V213" s="4"/>
      <c r="W213" s="4"/>
      <c r="X213" s="4"/>
      <c r="Y213" s="4"/>
      <c r="Z213" s="5">
        <v>100</v>
      </c>
      <c r="AL213" s="1"/>
      <c r="AM213" s="1"/>
      <c r="AN213" s="1"/>
      <c r="AO213" s="1"/>
      <c r="AP213" s="1"/>
      <c r="AQ213" s="1"/>
      <c r="AR213" s="1"/>
    </row>
    <row r="214" spans="19:44" x14ac:dyDescent="0.25">
      <c r="S214" s="193"/>
      <c r="T214" s="229" t="s">
        <v>348</v>
      </c>
      <c r="U214" s="186">
        <v>0</v>
      </c>
      <c r="V214" s="186"/>
      <c r="W214" s="186"/>
      <c r="X214" s="186"/>
      <c r="Y214" s="186"/>
      <c r="Z214" s="243">
        <v>470</v>
      </c>
      <c r="AA214" s="193"/>
    </row>
    <row r="215" spans="19:44" ht="15.75" thickBot="1" x14ac:dyDescent="0.3">
      <c r="T215" s="6" t="s">
        <v>16</v>
      </c>
      <c r="U215" s="7">
        <v>0</v>
      </c>
      <c r="V215" s="7">
        <v>0.2</v>
      </c>
      <c r="W215" s="8">
        <v>0.3</v>
      </c>
      <c r="X215" s="8">
        <v>0.6</v>
      </c>
      <c r="Y215" s="9">
        <v>0.7</v>
      </c>
      <c r="Z215" s="10">
        <v>1</v>
      </c>
    </row>
    <row r="216" spans="19:44" x14ac:dyDescent="0.25">
      <c r="AL216" s="11"/>
    </row>
    <row r="217" spans="19:44" x14ac:dyDescent="0.25">
      <c r="U217" s="83" t="s">
        <v>350</v>
      </c>
      <c r="AL217" s="11"/>
    </row>
    <row r="218" spans="19:44" x14ac:dyDescent="0.25">
      <c r="U218" t="s">
        <v>347</v>
      </c>
      <c r="V218" t="s">
        <v>349</v>
      </c>
      <c r="AL218" s="11"/>
    </row>
    <row r="219" spans="19:44" x14ac:dyDescent="0.25">
      <c r="T219" s="11" t="s">
        <v>142</v>
      </c>
      <c r="U219">
        <v>0.01</v>
      </c>
      <c r="V219">
        <v>2.0999999999999999E-3</v>
      </c>
      <c r="AN219" s="12"/>
    </row>
    <row r="220" spans="19:44" x14ac:dyDescent="0.25">
      <c r="T220" s="11" t="s">
        <v>143</v>
      </c>
      <c r="U220">
        <v>0</v>
      </c>
      <c r="V220">
        <v>0</v>
      </c>
      <c r="X220" s="2"/>
    </row>
    <row r="221" spans="19:44" x14ac:dyDescent="0.25">
      <c r="V221" s="12"/>
      <c r="Z221" s="12"/>
    </row>
    <row r="222" spans="19:44" x14ac:dyDescent="0.25">
      <c r="V222" s="12"/>
      <c r="Z222" s="12"/>
    </row>
    <row r="223" spans="19:44" x14ac:dyDescent="0.25">
      <c r="AF223" s="1"/>
      <c r="AG223" s="1"/>
    </row>
    <row r="246" spans="19:44" ht="15.75" thickBot="1" x14ac:dyDescent="0.3">
      <c r="T246" s="193" t="s">
        <v>341</v>
      </c>
      <c r="U246" s="193"/>
      <c r="V246" s="193"/>
      <c r="W246" s="193"/>
      <c r="X246" s="193"/>
      <c r="Y246" s="193"/>
      <c r="Z246" s="193"/>
      <c r="AL246" s="1"/>
      <c r="AM246" s="1"/>
      <c r="AN246" s="1"/>
      <c r="AO246" s="1"/>
      <c r="AP246" s="1"/>
      <c r="AQ246" s="1"/>
      <c r="AR246" s="1"/>
    </row>
    <row r="247" spans="19:44" x14ac:dyDescent="0.25">
      <c r="T247" s="3" t="s">
        <v>15</v>
      </c>
      <c r="U247" s="4">
        <v>0</v>
      </c>
      <c r="V247" s="4"/>
      <c r="W247" s="4"/>
      <c r="X247" s="4"/>
      <c r="Y247" s="4"/>
      <c r="Z247" s="5">
        <v>80</v>
      </c>
      <c r="AL247" s="1"/>
      <c r="AM247" s="1"/>
      <c r="AN247" s="1"/>
      <c r="AO247" s="1"/>
      <c r="AP247" s="1"/>
      <c r="AQ247" s="1"/>
      <c r="AR247" s="1"/>
    </row>
    <row r="248" spans="19:44" ht="15.75" thickBot="1" x14ac:dyDescent="0.3">
      <c r="T248" s="6" t="s">
        <v>16</v>
      </c>
      <c r="U248" s="7">
        <v>0</v>
      </c>
      <c r="V248" s="7">
        <v>0.28999999999999998</v>
      </c>
      <c r="W248" s="8">
        <v>0.3</v>
      </c>
      <c r="X248" s="8">
        <v>0.69</v>
      </c>
      <c r="Y248" s="9">
        <v>0.7</v>
      </c>
      <c r="Z248" s="10">
        <v>1</v>
      </c>
    </row>
    <row r="249" spans="19:44" x14ac:dyDescent="0.25">
      <c r="S249" s="193"/>
      <c r="AA249" s="193"/>
    </row>
    <row r="250" spans="19:44" x14ac:dyDescent="0.25">
      <c r="U250" s="83" t="s">
        <v>214</v>
      </c>
      <c r="AL250" s="11"/>
    </row>
    <row r="251" spans="19:44" x14ac:dyDescent="0.25">
      <c r="T251" s="11" t="s">
        <v>142</v>
      </c>
      <c r="U251">
        <v>1.2500000000000001E-2</v>
      </c>
      <c r="AL251" s="11"/>
    </row>
    <row r="252" spans="19:44" x14ac:dyDescent="0.25">
      <c r="T252" s="11" t="s">
        <v>143</v>
      </c>
      <c r="U252">
        <f>0</f>
        <v>0</v>
      </c>
      <c r="AL252" s="11"/>
    </row>
    <row r="253" spans="19:44" x14ac:dyDescent="0.25">
      <c r="V253" s="12"/>
      <c r="AN253" s="12"/>
    </row>
    <row r="265" spans="31:31" x14ac:dyDescent="0.25">
      <c r="AE265" s="1"/>
    </row>
    <row r="282" spans="19:27" ht="15.75" thickBot="1" x14ac:dyDescent="0.3">
      <c r="T282" t="s">
        <v>315</v>
      </c>
    </row>
    <row r="283" spans="19:27" x14ac:dyDescent="0.25">
      <c r="S283" s="193"/>
      <c r="T283" s="497" t="s">
        <v>15</v>
      </c>
      <c r="U283" s="4">
        <v>1</v>
      </c>
      <c r="V283" s="4"/>
      <c r="W283" s="4"/>
      <c r="X283" s="4"/>
      <c r="Y283" s="4"/>
      <c r="Z283" s="5">
        <v>3.5</v>
      </c>
      <c r="AA283" s="193"/>
    </row>
    <row r="284" spans="19:27" x14ac:dyDescent="0.25">
      <c r="T284" s="498"/>
      <c r="U284" s="186">
        <v>9</v>
      </c>
      <c r="V284" s="186"/>
      <c r="W284" s="186"/>
      <c r="X284" s="186"/>
      <c r="Y284" s="186"/>
      <c r="Z284" s="36">
        <v>6</v>
      </c>
    </row>
    <row r="285" spans="19:27" ht="15.75" thickBot="1" x14ac:dyDescent="0.3">
      <c r="T285" s="6" t="s">
        <v>16</v>
      </c>
      <c r="U285" s="7">
        <v>0</v>
      </c>
      <c r="V285" s="7">
        <v>0.28999999999999998</v>
      </c>
      <c r="W285" s="8">
        <v>0.3</v>
      </c>
      <c r="X285" s="8">
        <v>0.69</v>
      </c>
      <c r="Y285" s="9">
        <v>0.7</v>
      </c>
      <c r="Z285" s="10">
        <v>1</v>
      </c>
    </row>
    <row r="287" spans="19:27" x14ac:dyDescent="0.25">
      <c r="U287" s="83" t="s">
        <v>181</v>
      </c>
      <c r="V287" s="83"/>
    </row>
    <row r="288" spans="19:27" x14ac:dyDescent="0.25">
      <c r="U288" s="181" t="s">
        <v>316</v>
      </c>
      <c r="V288" s="181" t="s">
        <v>317</v>
      </c>
    </row>
    <row r="289" spans="20:22" x14ac:dyDescent="0.25">
      <c r="T289" s="181" t="s">
        <v>142</v>
      </c>
      <c r="U289">
        <v>0.4</v>
      </c>
      <c r="V289">
        <v>-0.33329999999999999</v>
      </c>
    </row>
    <row r="290" spans="20:22" x14ac:dyDescent="0.25">
      <c r="T290" s="181" t="s">
        <v>143</v>
      </c>
      <c r="U290">
        <v>-0.4</v>
      </c>
      <c r="V290">
        <v>3</v>
      </c>
    </row>
    <row r="315" spans="20:26" ht="15.75" thickBot="1" x14ac:dyDescent="0.3">
      <c r="T315" t="s">
        <v>318</v>
      </c>
    </row>
    <row r="316" spans="20:26" x14ac:dyDescent="0.25">
      <c r="T316" s="3" t="s">
        <v>15</v>
      </c>
      <c r="U316" s="76">
        <v>6.5</v>
      </c>
      <c r="V316" s="76"/>
      <c r="W316" s="4"/>
      <c r="X316" s="4"/>
      <c r="Y316" s="4">
        <v>5</v>
      </c>
      <c r="Z316" s="5">
        <v>4</v>
      </c>
    </row>
    <row r="317" spans="20:26" ht="15.75" thickBot="1" x14ac:dyDescent="0.3">
      <c r="T317" s="6" t="s">
        <v>16</v>
      </c>
      <c r="U317" s="7">
        <v>0</v>
      </c>
      <c r="V317" s="7">
        <v>0.28999999999999998</v>
      </c>
      <c r="W317" s="8">
        <v>0.3</v>
      </c>
      <c r="X317" s="8">
        <v>0.69</v>
      </c>
      <c r="Y317" s="9">
        <v>0.7</v>
      </c>
      <c r="Z317" s="10">
        <v>1</v>
      </c>
    </row>
    <row r="319" spans="20:26" x14ac:dyDescent="0.25">
      <c r="U319" s="83" t="s">
        <v>184</v>
      </c>
      <c r="V319" s="83"/>
    </row>
    <row r="320" spans="20:26" x14ac:dyDescent="0.25">
      <c r="T320" s="181" t="s">
        <v>142</v>
      </c>
      <c r="U320" s="181">
        <v>-6.6699999999999995E-2</v>
      </c>
      <c r="V320" s="181"/>
    </row>
    <row r="321" spans="20:23" x14ac:dyDescent="0.25">
      <c r="T321" s="181" t="s">
        <v>143</v>
      </c>
      <c r="U321" s="181">
        <v>0.3</v>
      </c>
      <c r="W321" s="12"/>
    </row>
    <row r="322" spans="20:23" x14ac:dyDescent="0.25">
      <c r="T322" s="181" t="s">
        <v>146</v>
      </c>
      <c r="U322" s="181">
        <v>0.86670000000000003</v>
      </c>
    </row>
    <row r="347" spans="20:26" ht="15.75" thickBot="1" x14ac:dyDescent="0.3">
      <c r="T347" t="s">
        <v>319</v>
      </c>
    </row>
    <row r="348" spans="20:26" x14ac:dyDescent="0.25">
      <c r="T348" s="3" t="s">
        <v>15</v>
      </c>
      <c r="U348" s="76">
        <v>8</v>
      </c>
      <c r="V348" s="76"/>
      <c r="W348" s="4"/>
      <c r="X348" s="4"/>
      <c r="Y348" s="4">
        <v>6</v>
      </c>
      <c r="Z348" s="5">
        <v>5</v>
      </c>
    </row>
    <row r="349" spans="20:26" ht="15.75" thickBot="1" x14ac:dyDescent="0.3">
      <c r="T349" s="6" t="s">
        <v>16</v>
      </c>
      <c r="U349" s="7">
        <v>0</v>
      </c>
      <c r="V349" s="7">
        <v>0.28999999999999998</v>
      </c>
      <c r="W349" s="8">
        <v>0.3</v>
      </c>
      <c r="X349" s="8">
        <v>0.69</v>
      </c>
      <c r="Y349" s="9">
        <v>0.7</v>
      </c>
      <c r="Z349" s="10">
        <v>1</v>
      </c>
    </row>
    <row r="351" spans="20:26" x14ac:dyDescent="0.25">
      <c r="U351" s="83" t="s">
        <v>184</v>
      </c>
      <c r="V351" s="83"/>
    </row>
    <row r="352" spans="20:26" x14ac:dyDescent="0.25">
      <c r="T352" s="181" t="s">
        <v>142</v>
      </c>
      <c r="U352" s="181">
        <v>-1.67E-2</v>
      </c>
      <c r="V352" s="181"/>
    </row>
    <row r="353" spans="20:23" x14ac:dyDescent="0.25">
      <c r="T353" s="181" t="s">
        <v>143</v>
      </c>
      <c r="U353" s="181">
        <v>-0.1167</v>
      </c>
      <c r="W353" s="12"/>
    </row>
    <row r="354" spans="20:23" x14ac:dyDescent="0.25">
      <c r="T354" s="181" t="s">
        <v>146</v>
      </c>
      <c r="U354" s="181">
        <v>2</v>
      </c>
    </row>
    <row r="355" spans="20:23" x14ac:dyDescent="0.25">
      <c r="T355" s="11"/>
    </row>
    <row r="381" spans="20:26" ht="15.75" thickBot="1" x14ac:dyDescent="0.3">
      <c r="T381" t="s">
        <v>55</v>
      </c>
    </row>
    <row r="382" spans="20:26" x14ac:dyDescent="0.25">
      <c r="T382" s="3" t="s">
        <v>15</v>
      </c>
      <c r="U382" s="97">
        <v>1.1000000000000001</v>
      </c>
      <c r="V382" s="4"/>
      <c r="W382" s="4">
        <v>1.5</v>
      </c>
      <c r="X382" s="4"/>
      <c r="Y382" s="4">
        <v>2</v>
      </c>
      <c r="Z382" s="98">
        <v>3</v>
      </c>
    </row>
    <row r="383" spans="20:26" ht="15.75" thickBot="1" x14ac:dyDescent="0.3">
      <c r="T383" s="6" t="s">
        <v>16</v>
      </c>
      <c r="U383" s="7">
        <v>0</v>
      </c>
      <c r="V383" s="7">
        <v>0.28999999999999998</v>
      </c>
      <c r="W383" s="8">
        <v>0.3</v>
      </c>
      <c r="X383" s="8">
        <v>0.69</v>
      </c>
      <c r="Y383" s="9">
        <v>0.7</v>
      </c>
      <c r="Z383" s="10">
        <v>1</v>
      </c>
    </row>
    <row r="385" spans="20:22" x14ac:dyDescent="0.25">
      <c r="U385" s="83" t="s">
        <v>184</v>
      </c>
      <c r="V385" s="83"/>
    </row>
    <row r="386" spans="20:22" x14ac:dyDescent="0.25">
      <c r="U386" s="11" t="s">
        <v>148</v>
      </c>
      <c r="V386" s="11" t="s">
        <v>96</v>
      </c>
    </row>
    <row r="387" spans="20:22" x14ac:dyDescent="0.25">
      <c r="T387" s="11" t="s">
        <v>142</v>
      </c>
      <c r="U387">
        <v>5.5599999999999997E-2</v>
      </c>
      <c r="V387">
        <v>0</v>
      </c>
    </row>
    <row r="388" spans="20:22" x14ac:dyDescent="0.25">
      <c r="T388" s="11" t="s">
        <v>143</v>
      </c>
      <c r="U388">
        <v>0.60560000000000003</v>
      </c>
      <c r="V388">
        <v>0.3</v>
      </c>
    </row>
    <row r="389" spans="20:22" x14ac:dyDescent="0.25">
      <c r="T389" s="181" t="s">
        <v>146</v>
      </c>
      <c r="U389">
        <v>-0.73329999999999995</v>
      </c>
      <c r="V389">
        <v>0.1</v>
      </c>
    </row>
    <row r="390" spans="20:22" x14ac:dyDescent="0.25">
      <c r="V390" s="12"/>
    </row>
    <row r="398" spans="20:22" x14ac:dyDescent="0.25">
      <c r="T398" s="1"/>
    </row>
    <row r="399" spans="20:22" x14ac:dyDescent="0.25">
      <c r="T399" s="1"/>
    </row>
    <row r="401" spans="20:26" x14ac:dyDescent="0.25">
      <c r="T401" s="1"/>
    </row>
    <row r="402" spans="20:26" x14ac:dyDescent="0.25">
      <c r="T402" s="1"/>
    </row>
    <row r="409" spans="20:26" x14ac:dyDescent="0.25">
      <c r="T409" s="1"/>
    </row>
    <row r="410" spans="20:26" x14ac:dyDescent="0.25">
      <c r="T410" s="1"/>
    </row>
    <row r="412" spans="20:26" x14ac:dyDescent="0.25">
      <c r="T412" s="1"/>
      <c r="U412" s="1"/>
      <c r="V412" s="1"/>
      <c r="W412" s="1"/>
      <c r="X412" s="1"/>
      <c r="Y412" s="1"/>
      <c r="Z412" s="1"/>
    </row>
    <row r="413" spans="20:26" x14ac:dyDescent="0.25">
      <c r="T413" s="1"/>
    </row>
    <row r="415" spans="20:26" ht="15.75" thickBot="1" x14ac:dyDescent="0.3">
      <c r="T415" t="s">
        <v>320</v>
      </c>
    </row>
    <row r="416" spans="20:26" x14ac:dyDescent="0.25">
      <c r="T416" s="495" t="s">
        <v>15</v>
      </c>
      <c r="U416" s="82">
        <v>20</v>
      </c>
      <c r="V416" s="4"/>
      <c r="W416" s="4"/>
      <c r="X416" s="4"/>
      <c r="Y416" s="4"/>
      <c r="Z416" s="5">
        <v>50</v>
      </c>
    </row>
    <row r="417" spans="20:26" x14ac:dyDescent="0.25">
      <c r="T417" s="496"/>
      <c r="U417" s="85">
        <v>90</v>
      </c>
      <c r="V417" s="1"/>
      <c r="W417" s="1"/>
      <c r="X417" s="1"/>
      <c r="Y417" s="1"/>
      <c r="Z417" s="36">
        <v>60</v>
      </c>
    </row>
    <row r="418" spans="20:26" ht="15.75" thickBot="1" x14ac:dyDescent="0.3">
      <c r="T418" s="6" t="s">
        <v>16</v>
      </c>
      <c r="U418" s="7">
        <v>0</v>
      </c>
      <c r="V418" s="7">
        <v>0.28999999999999998</v>
      </c>
      <c r="W418" s="8">
        <v>0.3</v>
      </c>
      <c r="X418" s="8">
        <v>0.69</v>
      </c>
      <c r="Y418" s="9">
        <v>0.7</v>
      </c>
      <c r="Z418" s="10">
        <v>1</v>
      </c>
    </row>
    <row r="420" spans="20:26" x14ac:dyDescent="0.25">
      <c r="U420" t="s">
        <v>181</v>
      </c>
    </row>
    <row r="421" spans="20:26" x14ac:dyDescent="0.25">
      <c r="U421" t="s">
        <v>316</v>
      </c>
      <c r="V421" t="s">
        <v>317</v>
      </c>
    </row>
    <row r="422" spans="20:26" x14ac:dyDescent="0.25">
      <c r="T422" s="11" t="s">
        <v>142</v>
      </c>
      <c r="U422">
        <v>3.3300000000000003E-2</v>
      </c>
      <c r="V422">
        <v>-3.3300000000000003E-2</v>
      </c>
    </row>
    <row r="423" spans="20:26" x14ac:dyDescent="0.25">
      <c r="T423" s="11" t="s">
        <v>143</v>
      </c>
      <c r="U423">
        <v>-0.66669999999999996</v>
      </c>
      <c r="V423">
        <v>3</v>
      </c>
    </row>
    <row r="424" spans="20:26" x14ac:dyDescent="0.25">
      <c r="T424" s="11"/>
      <c r="V424" s="12"/>
    </row>
    <row r="435" spans="38:38" x14ac:dyDescent="0.25">
      <c r="AL435" s="1"/>
    </row>
    <row r="449" spans="20:27" x14ac:dyDescent="0.25">
      <c r="AA449" s="1"/>
    </row>
    <row r="450" spans="20:27" ht="15.75" thickBot="1" x14ac:dyDescent="0.3">
      <c r="T450" t="s">
        <v>321</v>
      </c>
    </row>
    <row r="451" spans="20:27" x14ac:dyDescent="0.25">
      <c r="T451" s="495" t="s">
        <v>4</v>
      </c>
      <c r="U451" s="82">
        <v>20</v>
      </c>
      <c r="V451" s="4"/>
      <c r="W451" s="4"/>
      <c r="X451" s="4"/>
      <c r="Y451" s="4"/>
      <c r="Z451" s="5">
        <v>45</v>
      </c>
    </row>
    <row r="452" spans="20:27" x14ac:dyDescent="0.25">
      <c r="T452" s="496"/>
      <c r="U452" s="85">
        <v>85</v>
      </c>
      <c r="V452" s="1"/>
      <c r="W452" s="1"/>
      <c r="X452" s="1"/>
      <c r="Y452" s="1"/>
      <c r="Z452" s="36">
        <v>65</v>
      </c>
    </row>
    <row r="453" spans="20:27" ht="15.75" thickBot="1" x14ac:dyDescent="0.3">
      <c r="T453" s="6" t="s">
        <v>5</v>
      </c>
      <c r="U453" s="7">
        <v>0</v>
      </c>
      <c r="V453" s="7">
        <v>0.28999999999999998</v>
      </c>
      <c r="W453" s="8">
        <v>0.3</v>
      </c>
      <c r="X453" s="8">
        <v>0.69</v>
      </c>
      <c r="Y453" s="9">
        <v>0.7</v>
      </c>
      <c r="Z453" s="10">
        <v>1</v>
      </c>
    </row>
    <row r="455" spans="20:27" x14ac:dyDescent="0.25">
      <c r="U455" t="s">
        <v>181</v>
      </c>
    </row>
    <row r="456" spans="20:27" x14ac:dyDescent="0.25">
      <c r="U456" t="s">
        <v>316</v>
      </c>
      <c r="V456" t="s">
        <v>317</v>
      </c>
    </row>
    <row r="457" spans="20:27" x14ac:dyDescent="0.25">
      <c r="T457" s="11" t="s">
        <v>142</v>
      </c>
      <c r="U457">
        <v>0.04</v>
      </c>
      <c r="V457">
        <v>-0.05</v>
      </c>
    </row>
    <row r="458" spans="20:27" x14ac:dyDescent="0.25">
      <c r="T458" s="11" t="s">
        <v>143</v>
      </c>
      <c r="U458">
        <v>-0.8</v>
      </c>
      <c r="V458">
        <v>4.25</v>
      </c>
    </row>
    <row r="459" spans="20:27" x14ac:dyDescent="0.25">
      <c r="V459" s="12"/>
    </row>
    <row r="463" spans="20:27" x14ac:dyDescent="0.25">
      <c r="AA463" s="11"/>
    </row>
    <row r="464" spans="20:27" x14ac:dyDescent="0.25">
      <c r="AA464" s="11"/>
    </row>
    <row r="484" spans="20:26" ht="15.75" thickBot="1" x14ac:dyDescent="0.3">
      <c r="T484" t="s">
        <v>180</v>
      </c>
    </row>
    <row r="485" spans="20:26" x14ac:dyDescent="0.25">
      <c r="T485" s="3" t="s">
        <v>15</v>
      </c>
      <c r="U485" s="4">
        <v>1.6</v>
      </c>
      <c r="V485" s="4"/>
      <c r="W485" s="4">
        <v>1.4</v>
      </c>
      <c r="X485" s="4">
        <v>1.2</v>
      </c>
      <c r="Y485" s="4"/>
      <c r="Z485" s="5">
        <v>1</v>
      </c>
    </row>
    <row r="486" spans="20:26" ht="15.75" thickBot="1" x14ac:dyDescent="0.3">
      <c r="T486" s="6" t="s">
        <v>16</v>
      </c>
      <c r="U486" s="7">
        <v>0</v>
      </c>
      <c r="V486" s="7">
        <v>0.28999999999999998</v>
      </c>
      <c r="W486" s="8">
        <v>0.3</v>
      </c>
      <c r="X486" s="8">
        <v>0.69</v>
      </c>
      <c r="Y486" s="9">
        <v>0.7</v>
      </c>
      <c r="Z486" s="10">
        <v>1</v>
      </c>
    </row>
    <row r="488" spans="20:26" x14ac:dyDescent="0.25">
      <c r="U488" s="83" t="s">
        <v>213</v>
      </c>
    </row>
    <row r="489" spans="20:26" x14ac:dyDescent="0.25">
      <c r="T489" s="11" t="s">
        <v>142</v>
      </c>
      <c r="U489">
        <v>3.5417000000000001</v>
      </c>
    </row>
    <row r="490" spans="20:26" x14ac:dyDescent="0.25">
      <c r="T490" s="11" t="s">
        <v>143</v>
      </c>
      <c r="U490">
        <v>-13.75</v>
      </c>
    </row>
    <row r="491" spans="20:26" x14ac:dyDescent="0.25">
      <c r="T491" s="11" t="s">
        <v>146</v>
      </c>
      <c r="U491">
        <v>15.808</v>
      </c>
    </row>
    <row r="492" spans="20:26" x14ac:dyDescent="0.25">
      <c r="T492" s="11" t="s">
        <v>147</v>
      </c>
      <c r="U492">
        <v>-4.5999999999999996</v>
      </c>
      <c r="V492" s="12"/>
    </row>
    <row r="498" spans="27:27" x14ac:dyDescent="0.25">
      <c r="AA498" s="11"/>
    </row>
    <row r="499" spans="27:27" x14ac:dyDescent="0.25">
      <c r="AA499" s="11"/>
    </row>
    <row r="524" spans="12:18" x14ac:dyDescent="0.25">
      <c r="L524" s="1"/>
      <c r="M524" s="1"/>
      <c r="N524" s="1"/>
      <c r="O524" s="1"/>
      <c r="P524" s="1"/>
      <c r="Q524" s="1"/>
      <c r="R524" s="189"/>
    </row>
    <row r="525" spans="12:18" x14ac:dyDescent="0.25">
      <c r="L525" s="1"/>
      <c r="M525" s="1"/>
      <c r="N525" s="1"/>
      <c r="O525" s="1"/>
      <c r="P525" s="1"/>
      <c r="Q525" s="1"/>
      <c r="R525" s="189"/>
    </row>
    <row r="531" spans="12:18" x14ac:dyDescent="0.25">
      <c r="N531" s="12"/>
    </row>
    <row r="537" spans="12:18" x14ac:dyDescent="0.25">
      <c r="L537" s="1"/>
      <c r="M537" s="1"/>
      <c r="N537" s="1"/>
      <c r="O537" s="1"/>
      <c r="P537" s="1"/>
      <c r="Q537" s="1"/>
      <c r="R537" s="189"/>
    </row>
    <row r="538" spans="12:18" x14ac:dyDescent="0.25">
      <c r="L538" s="1"/>
      <c r="M538" s="1"/>
      <c r="N538" s="1"/>
      <c r="O538" s="1"/>
      <c r="P538" s="1"/>
      <c r="Q538" s="1"/>
      <c r="R538" s="189"/>
    </row>
    <row r="544" spans="12:18" x14ac:dyDescent="0.25">
      <c r="O544" s="12"/>
    </row>
    <row r="548" spans="19:19" x14ac:dyDescent="0.25">
      <c r="S548" s="1"/>
    </row>
    <row r="549" spans="19:19" x14ac:dyDescent="0.25">
      <c r="S549" s="1"/>
    </row>
    <row r="816" spans="28:28" x14ac:dyDescent="0.25">
      <c r="AB816" s="179"/>
    </row>
    <row r="817" spans="28:28" x14ac:dyDescent="0.25">
      <c r="AB817" s="179"/>
    </row>
    <row r="822" spans="28:28" x14ac:dyDescent="0.25">
      <c r="AB822" s="179"/>
    </row>
    <row r="823" spans="28:28" x14ac:dyDescent="0.25">
      <c r="AB823" s="179"/>
    </row>
    <row r="828" spans="28:28" x14ac:dyDescent="0.25">
      <c r="AB828" s="179"/>
    </row>
    <row r="829" spans="28:28" x14ac:dyDescent="0.25">
      <c r="AB829" s="179"/>
    </row>
  </sheetData>
  <sheetProtection algorithmName="SHA-512" hashValue="pgohGhgUJ1LpU3/ZUiR1MlLpL3yQphDShAwpk3Iu70svzKgvjIfYDs9QZfhXC7JQX2Oq1OWGD7ibbkTP8RX/RQ==" saltValue="2VbwmI8CyMEpQcyAh0+gBA==" spinCount="100000" sheet="1" objects="1" scenarios="1"/>
  <mergeCells count="9">
    <mergeCell ref="B5:H6"/>
    <mergeCell ref="K5:Q6"/>
    <mergeCell ref="AL5:AR6"/>
    <mergeCell ref="T5:AA6"/>
    <mergeCell ref="AC5:AJ6"/>
    <mergeCell ref="T416:T417"/>
    <mergeCell ref="T451:T452"/>
    <mergeCell ref="T283:T284"/>
    <mergeCell ref="T178:T179"/>
  </mergeCells>
  <printOptions gridLines="1"/>
  <pageMargins left="0.7" right="0.7" top="0.75" bottom="0.75" header="0.3" footer="0.3"/>
  <pageSetup scale="10" orientation="portrait" r:id="rId1"/>
  <headerFooter>
    <oddFooter>&amp;LMiSQT v1
Reference Standards</oddFooter>
  </headerFooter>
  <rowBreaks count="1" manualBreakCount="1">
    <brk id="75" max="16383" man="1"/>
  </rowBreaks>
  <colBreaks count="1" manualBreakCount="1">
    <brk id="3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F136"/>
  <sheetViews>
    <sheetView workbookViewId="0"/>
  </sheetViews>
  <sheetFormatPr defaultRowHeight="15" x14ac:dyDescent="0.25"/>
  <cols>
    <col min="1" max="1" width="8.85546875" style="2"/>
    <col min="2" max="2" width="15.5703125" customWidth="1"/>
  </cols>
  <sheetData>
    <row r="1" spans="1:2" x14ac:dyDescent="0.25">
      <c r="A1" s="2" t="s">
        <v>185</v>
      </c>
    </row>
    <row r="2" spans="1:2" x14ac:dyDescent="0.25">
      <c r="B2" t="s">
        <v>21</v>
      </c>
    </row>
    <row r="3" spans="1:2" x14ac:dyDescent="0.25">
      <c r="B3" t="s">
        <v>12</v>
      </c>
    </row>
    <row r="4" spans="1:2" x14ac:dyDescent="0.25">
      <c r="B4" t="s">
        <v>13</v>
      </c>
    </row>
    <row r="5" spans="1:2" x14ac:dyDescent="0.25">
      <c r="B5" t="s">
        <v>10</v>
      </c>
    </row>
    <row r="6" spans="1:2" x14ac:dyDescent="0.25">
      <c r="B6" t="s">
        <v>11</v>
      </c>
    </row>
    <row r="7" spans="1:2" x14ac:dyDescent="0.25">
      <c r="B7" t="s">
        <v>96</v>
      </c>
    </row>
    <row r="8" spans="1:2" x14ac:dyDescent="0.25">
      <c r="B8" t="s">
        <v>97</v>
      </c>
    </row>
    <row r="9" spans="1:2" x14ac:dyDescent="0.25">
      <c r="B9" t="s">
        <v>110</v>
      </c>
    </row>
    <row r="11" spans="1:2" x14ac:dyDescent="0.25">
      <c r="A11" s="2" t="s">
        <v>251</v>
      </c>
    </row>
    <row r="12" spans="1:2" x14ac:dyDescent="0.25">
      <c r="B12" t="s">
        <v>252</v>
      </c>
    </row>
    <row r="13" spans="1:2" x14ac:dyDescent="0.25">
      <c r="B13" t="s">
        <v>253</v>
      </c>
    </row>
    <row r="14" spans="1:2" x14ac:dyDescent="0.25">
      <c r="B14" t="s">
        <v>254</v>
      </c>
    </row>
    <row r="15" spans="1:2" x14ac:dyDescent="0.25">
      <c r="B15" t="s">
        <v>255</v>
      </c>
    </row>
    <row r="16" spans="1:2" x14ac:dyDescent="0.25">
      <c r="B16" t="s">
        <v>256</v>
      </c>
    </row>
    <row r="17" spans="1:2" x14ac:dyDescent="0.25">
      <c r="B17" t="s">
        <v>257</v>
      </c>
    </row>
    <row r="18" spans="1:2" x14ac:dyDescent="0.25">
      <c r="B18" t="s">
        <v>258</v>
      </c>
    </row>
    <row r="19" spans="1:2" x14ac:dyDescent="0.25">
      <c r="B19" t="s">
        <v>259</v>
      </c>
    </row>
    <row r="20" spans="1:2" x14ac:dyDescent="0.25">
      <c r="B20" t="s">
        <v>260</v>
      </c>
    </row>
    <row r="21" spans="1:2" x14ac:dyDescent="0.25">
      <c r="B21" t="s">
        <v>261</v>
      </c>
    </row>
    <row r="22" spans="1:2" x14ac:dyDescent="0.25">
      <c r="B22" t="s">
        <v>262</v>
      </c>
    </row>
    <row r="23" spans="1:2" x14ac:dyDescent="0.25">
      <c r="B23" t="s">
        <v>263</v>
      </c>
    </row>
    <row r="25" spans="1:2" x14ac:dyDescent="0.25">
      <c r="A25" s="2" t="s">
        <v>99</v>
      </c>
    </row>
    <row r="26" spans="1:2" x14ac:dyDescent="0.25">
      <c r="B26" t="s">
        <v>311</v>
      </c>
    </row>
    <row r="27" spans="1:2" x14ac:dyDescent="0.25">
      <c r="B27" t="s">
        <v>22</v>
      </c>
    </row>
    <row r="28" spans="1:2" x14ac:dyDescent="0.25">
      <c r="B28" t="s">
        <v>23</v>
      </c>
    </row>
    <row r="29" spans="1:2" x14ac:dyDescent="0.25">
      <c r="B29" t="s">
        <v>312</v>
      </c>
    </row>
    <row r="30" spans="1:2" x14ac:dyDescent="0.25">
      <c r="B30" t="s">
        <v>313</v>
      </c>
    </row>
    <row r="31" spans="1:2" x14ac:dyDescent="0.25">
      <c r="B31" t="s">
        <v>314</v>
      </c>
    </row>
    <row r="33" spans="1:2" x14ac:dyDescent="0.25">
      <c r="A33" s="2" t="s">
        <v>26</v>
      </c>
    </row>
    <row r="34" spans="1:2" x14ac:dyDescent="0.25">
      <c r="B34" t="s">
        <v>25</v>
      </c>
    </row>
    <row r="35" spans="1:2" x14ac:dyDescent="0.25">
      <c r="B35" t="s">
        <v>29</v>
      </c>
    </row>
    <row r="36" spans="1:2" x14ac:dyDescent="0.25">
      <c r="B36" t="s">
        <v>61</v>
      </c>
    </row>
    <row r="38" spans="1:2" x14ac:dyDescent="0.25">
      <c r="A38" s="2" t="s">
        <v>186</v>
      </c>
    </row>
    <row r="39" spans="1:2" x14ac:dyDescent="0.25">
      <c r="B39" t="s">
        <v>304</v>
      </c>
    </row>
    <row r="40" spans="1:2" x14ac:dyDescent="0.25">
      <c r="B40" t="s">
        <v>305</v>
      </c>
    </row>
    <row r="41" spans="1:2" x14ac:dyDescent="0.25">
      <c r="B41" t="s">
        <v>306</v>
      </c>
    </row>
    <row r="42" spans="1:2" x14ac:dyDescent="0.25">
      <c r="B42" t="s">
        <v>307</v>
      </c>
    </row>
    <row r="43" spans="1:2" x14ac:dyDescent="0.25">
      <c r="B43" t="s">
        <v>308</v>
      </c>
    </row>
    <row r="44" spans="1:2" x14ac:dyDescent="0.25">
      <c r="B44" t="s">
        <v>309</v>
      </c>
    </row>
    <row r="45" spans="1:2" x14ac:dyDescent="0.25">
      <c r="B45" t="s">
        <v>30</v>
      </c>
    </row>
    <row r="46" spans="1:2" x14ac:dyDescent="0.25">
      <c r="B46" t="s">
        <v>31</v>
      </c>
    </row>
    <row r="47" spans="1:2" x14ac:dyDescent="0.25">
      <c r="B47" t="s">
        <v>32</v>
      </c>
    </row>
    <row r="48" spans="1:2" x14ac:dyDescent="0.25">
      <c r="B48" t="s">
        <v>33</v>
      </c>
    </row>
    <row r="49" spans="2:2" x14ac:dyDescent="0.25">
      <c r="B49" t="s">
        <v>34</v>
      </c>
    </row>
    <row r="50" spans="2:2" x14ac:dyDescent="0.25">
      <c r="B50" t="s">
        <v>39</v>
      </c>
    </row>
    <row r="51" spans="2:2" x14ac:dyDescent="0.25">
      <c r="B51" t="s">
        <v>35</v>
      </c>
    </row>
    <row r="52" spans="2:2" x14ac:dyDescent="0.25">
      <c r="B52" t="s">
        <v>36</v>
      </c>
    </row>
    <row r="53" spans="2:2" x14ac:dyDescent="0.25">
      <c r="B53" t="s">
        <v>37</v>
      </c>
    </row>
    <row r="54" spans="2:2" x14ac:dyDescent="0.25">
      <c r="B54" t="s">
        <v>38</v>
      </c>
    </row>
    <row r="55" spans="2:2" x14ac:dyDescent="0.25">
      <c r="B55" t="s">
        <v>113</v>
      </c>
    </row>
    <row r="56" spans="2:2" x14ac:dyDescent="0.25">
      <c r="B56" t="s">
        <v>112</v>
      </c>
    </row>
    <row r="57" spans="2:2" x14ac:dyDescent="0.25">
      <c r="B57" t="s">
        <v>114</v>
      </c>
    </row>
    <row r="58" spans="2:2" x14ac:dyDescent="0.25">
      <c r="B58" t="s">
        <v>40</v>
      </c>
    </row>
    <row r="59" spans="2:2" x14ac:dyDescent="0.25">
      <c r="B59" t="s">
        <v>41</v>
      </c>
    </row>
    <row r="60" spans="2:2" x14ac:dyDescent="0.25">
      <c r="B60" t="s">
        <v>42</v>
      </c>
    </row>
    <row r="61" spans="2:2" x14ac:dyDescent="0.25">
      <c r="B61" t="s">
        <v>115</v>
      </c>
    </row>
    <row r="62" spans="2:2" x14ac:dyDescent="0.25">
      <c r="B62" t="s">
        <v>45</v>
      </c>
    </row>
    <row r="63" spans="2:2" x14ac:dyDescent="0.25">
      <c r="B63" t="s">
        <v>43</v>
      </c>
    </row>
    <row r="64" spans="2:2" x14ac:dyDescent="0.25">
      <c r="B64" t="s">
        <v>116</v>
      </c>
    </row>
    <row r="65" spans="1:6" x14ac:dyDescent="0.25">
      <c r="B65" t="s">
        <v>117</v>
      </c>
    </row>
    <row r="66" spans="1:6" x14ac:dyDescent="0.25">
      <c r="B66" t="s">
        <v>118</v>
      </c>
    </row>
    <row r="67" spans="1:6" x14ac:dyDescent="0.25">
      <c r="B67" t="s">
        <v>49</v>
      </c>
    </row>
    <row r="68" spans="1:6" x14ac:dyDescent="0.25">
      <c r="B68" t="s">
        <v>119</v>
      </c>
    </row>
    <row r="69" spans="1:6" x14ac:dyDescent="0.25">
      <c r="B69" t="s">
        <v>44</v>
      </c>
    </row>
    <row r="70" spans="1:6" x14ac:dyDescent="0.25">
      <c r="B70" t="s">
        <v>120</v>
      </c>
    </row>
    <row r="71" spans="1:6" x14ac:dyDescent="0.25">
      <c r="B71" t="s">
        <v>46</v>
      </c>
    </row>
    <row r="72" spans="1:6" x14ac:dyDescent="0.25">
      <c r="B72" t="s">
        <v>47</v>
      </c>
    </row>
    <row r="73" spans="1:6" x14ac:dyDescent="0.25">
      <c r="B73" t="s">
        <v>48</v>
      </c>
    </row>
    <row r="74" spans="1:6" x14ac:dyDescent="0.25">
      <c r="B74" t="s">
        <v>50</v>
      </c>
    </row>
    <row r="76" spans="1:6" x14ac:dyDescent="0.25">
      <c r="A76" s="2" t="s">
        <v>58</v>
      </c>
    </row>
    <row r="77" spans="1:6" x14ac:dyDescent="0.25">
      <c r="B77" t="s">
        <v>272</v>
      </c>
    </row>
    <row r="78" spans="1:6" x14ac:dyDescent="0.25">
      <c r="B78" t="s">
        <v>273</v>
      </c>
    </row>
    <row r="80" spans="1:6" x14ac:dyDescent="0.25">
      <c r="A80" s="194" t="s">
        <v>325</v>
      </c>
      <c r="B80" s="193"/>
      <c r="C80" s="193"/>
      <c r="D80" s="193"/>
      <c r="E80" s="193"/>
      <c r="F80" s="193"/>
    </row>
    <row r="81" spans="1:2" x14ac:dyDescent="0.25">
      <c r="B81" t="s">
        <v>265</v>
      </c>
    </row>
    <row r="82" spans="1:2" x14ac:dyDescent="0.25">
      <c r="B82" t="s">
        <v>266</v>
      </c>
    </row>
    <row r="83" spans="1:2" x14ac:dyDescent="0.25">
      <c r="B83" t="s">
        <v>329</v>
      </c>
    </row>
    <row r="84" spans="1:2" x14ac:dyDescent="0.25">
      <c r="B84" t="s">
        <v>267</v>
      </c>
    </row>
    <row r="85" spans="1:2" x14ac:dyDescent="0.25">
      <c r="B85" t="s">
        <v>326</v>
      </c>
    </row>
    <row r="87" spans="1:2" x14ac:dyDescent="0.25">
      <c r="A87" s="2" t="s">
        <v>187</v>
      </c>
    </row>
    <row r="88" spans="1:2" x14ac:dyDescent="0.25">
      <c r="B88" t="s">
        <v>63</v>
      </c>
    </row>
    <row r="89" spans="1:2" x14ac:dyDescent="0.25">
      <c r="B89" t="s">
        <v>64</v>
      </c>
    </row>
    <row r="91" spans="1:2" x14ac:dyDescent="0.25">
      <c r="A91" s="2" t="s">
        <v>188</v>
      </c>
    </row>
    <row r="92" spans="1:2" x14ac:dyDescent="0.25">
      <c r="B92" t="s">
        <v>203</v>
      </c>
    </row>
    <row r="93" spans="1:2" x14ac:dyDescent="0.25">
      <c r="B93" t="s">
        <v>378</v>
      </c>
    </row>
    <row r="94" spans="1:2" x14ac:dyDescent="0.25">
      <c r="B94" t="s">
        <v>80</v>
      </c>
    </row>
    <row r="95" spans="1:2" x14ac:dyDescent="0.25">
      <c r="B95" t="s">
        <v>379</v>
      </c>
    </row>
    <row r="96" spans="1:2" x14ac:dyDescent="0.25">
      <c r="B96" t="s">
        <v>380</v>
      </c>
    </row>
    <row r="97" spans="1:2" x14ac:dyDescent="0.25">
      <c r="B97" t="s">
        <v>81</v>
      </c>
    </row>
    <row r="98" spans="1:2" x14ac:dyDescent="0.25">
      <c r="A98" s="2" t="s">
        <v>92</v>
      </c>
    </row>
    <row r="99" spans="1:2" x14ac:dyDescent="0.25">
      <c r="B99" t="s">
        <v>93</v>
      </c>
    </row>
    <row r="100" spans="1:2" x14ac:dyDescent="0.25">
      <c r="B100" t="s">
        <v>242</v>
      </c>
    </row>
    <row r="101" spans="1:2" x14ac:dyDescent="0.25">
      <c r="B101" t="s">
        <v>243</v>
      </c>
    </row>
    <row r="102" spans="1:2" x14ac:dyDescent="0.25">
      <c r="B102" t="s">
        <v>244</v>
      </c>
    </row>
    <row r="104" spans="1:2" x14ac:dyDescent="0.25">
      <c r="A104" s="2" t="s">
        <v>189</v>
      </c>
    </row>
    <row r="105" spans="1:2" x14ac:dyDescent="0.25">
      <c r="B105" t="s">
        <v>221</v>
      </c>
    </row>
    <row r="106" spans="1:2" x14ac:dyDescent="0.25">
      <c r="B106" t="s">
        <v>222</v>
      </c>
    </row>
    <row r="107" spans="1:2" x14ac:dyDescent="0.25">
      <c r="B107" t="s">
        <v>223</v>
      </c>
    </row>
    <row r="109" spans="1:2" x14ac:dyDescent="0.25">
      <c r="A109" s="2" t="s">
        <v>190</v>
      </c>
    </row>
    <row r="110" spans="1:2" x14ac:dyDescent="0.25">
      <c r="B110" t="s">
        <v>191</v>
      </c>
    </row>
    <row r="111" spans="1:2" x14ac:dyDescent="0.25">
      <c r="B111" t="s">
        <v>193</v>
      </c>
    </row>
    <row r="112" spans="1:2" x14ac:dyDescent="0.25">
      <c r="B112" t="s">
        <v>192</v>
      </c>
    </row>
    <row r="114" spans="1:2" x14ac:dyDescent="0.25">
      <c r="A114" s="2" t="s">
        <v>194</v>
      </c>
    </row>
    <row r="115" spans="1:2" x14ac:dyDescent="0.25">
      <c r="B115" t="s">
        <v>201</v>
      </c>
    </row>
    <row r="116" spans="1:2" x14ac:dyDescent="0.25">
      <c r="B116" t="s">
        <v>195</v>
      </c>
    </row>
    <row r="117" spans="1:2" x14ac:dyDescent="0.25">
      <c r="B117" t="s">
        <v>196</v>
      </c>
    </row>
    <row r="118" spans="1:2" x14ac:dyDescent="0.25">
      <c r="B118" t="s">
        <v>197</v>
      </c>
    </row>
    <row r="119" spans="1:2" x14ac:dyDescent="0.25">
      <c r="B119" t="s">
        <v>198</v>
      </c>
    </row>
    <row r="120" spans="1:2" x14ac:dyDescent="0.25">
      <c r="B120" t="s">
        <v>199</v>
      </c>
    </row>
    <row r="121" spans="1:2" x14ac:dyDescent="0.25">
      <c r="B121" t="s">
        <v>200</v>
      </c>
    </row>
    <row r="123" spans="1:2" x14ac:dyDescent="0.25">
      <c r="A123" s="2" t="s">
        <v>224</v>
      </c>
    </row>
    <row r="124" spans="1:2" x14ac:dyDescent="0.25">
      <c r="B124" t="s">
        <v>225</v>
      </c>
    </row>
    <row r="125" spans="1:2" x14ac:dyDescent="0.25">
      <c r="B125" t="s">
        <v>226</v>
      </c>
    </row>
    <row r="127" spans="1:2" x14ac:dyDescent="0.25">
      <c r="A127" s="2" t="s">
        <v>352</v>
      </c>
    </row>
    <row r="128" spans="1:2" x14ac:dyDescent="0.25">
      <c r="B128" t="s">
        <v>347</v>
      </c>
    </row>
    <row r="129" spans="1:2" x14ac:dyDescent="0.25">
      <c r="B129" t="s">
        <v>348</v>
      </c>
    </row>
    <row r="130" spans="1:2" x14ac:dyDescent="0.25">
      <c r="B130" t="s">
        <v>353</v>
      </c>
    </row>
    <row r="132" spans="1:2" x14ac:dyDescent="0.25">
      <c r="A132" s="2" t="s">
        <v>372</v>
      </c>
    </row>
    <row r="133" spans="1:2" x14ac:dyDescent="0.25">
      <c r="B133" t="s">
        <v>373</v>
      </c>
    </row>
    <row r="134" spans="1:2" x14ac:dyDescent="0.25">
      <c r="B134" t="s">
        <v>374</v>
      </c>
    </row>
    <row r="135" spans="1:2" x14ac:dyDescent="0.25">
      <c r="B135" t="s">
        <v>375</v>
      </c>
    </row>
    <row r="136" spans="1:2" x14ac:dyDescent="0.25">
      <c r="B136" t="s">
        <v>376</v>
      </c>
    </row>
  </sheetData>
  <conditionalFormatting sqref="A33 A76 A80 A98">
    <cfRule type="beginsWith" dxfId="14" priority="16" stopIfTrue="1" operator="beginsWith" text="Functioning At Risk">
      <formula>LEFT(A33,LEN("Functioning At Risk"))="Functioning At Risk"</formula>
    </cfRule>
    <cfRule type="beginsWith" dxfId="13" priority="17" stopIfTrue="1" operator="beginsWith" text="Not Functioning">
      <formula>LEFT(A33,LEN("Not Functioning"))="Not Functioning"</formula>
    </cfRule>
    <cfRule type="containsText" dxfId="12" priority="18" operator="containsText" text="Functioning">
      <formula>NOT(ISERROR(SEARCH("Functioning",A33)))</formula>
    </cfRule>
  </conditionalFormatting>
  <conditionalFormatting sqref="A1">
    <cfRule type="beginsWith" dxfId="11" priority="13" stopIfTrue="1" operator="beginsWith" text="Functioning At Risk">
      <formula>LEFT(A1,LEN("Functioning At Risk"))="Functioning At Risk"</formula>
    </cfRule>
    <cfRule type="beginsWith" dxfId="10" priority="14" stopIfTrue="1" operator="beginsWith" text="Not Functioning">
      <formula>LEFT(A1,LEN("Not Functioning"))="Not Functioning"</formula>
    </cfRule>
    <cfRule type="containsText" dxfId="9" priority="15" operator="containsText" text="Functioning">
      <formula>NOT(ISERROR(SEARCH("Functioning",A1)))</formula>
    </cfRule>
  </conditionalFormatting>
  <conditionalFormatting sqref="A25">
    <cfRule type="beginsWith" dxfId="8" priority="7" stopIfTrue="1" operator="beginsWith" text="Functioning At Risk">
      <formula>LEFT(A25,LEN("Functioning At Risk"))="Functioning At Risk"</formula>
    </cfRule>
    <cfRule type="beginsWith" dxfId="7" priority="8" stopIfTrue="1" operator="beginsWith" text="Not Functioning">
      <formula>LEFT(A25,LEN("Not Functioning"))="Not Functioning"</formula>
    </cfRule>
    <cfRule type="containsText" dxfId="6" priority="9" operator="containsText" text="Functioning">
      <formula>NOT(ISERROR(SEARCH("Functioning",A25)))</formula>
    </cfRule>
  </conditionalFormatting>
  <conditionalFormatting sqref="A109">
    <cfRule type="beginsWith" dxfId="5" priority="4" stopIfTrue="1" operator="beginsWith" text="Functioning At Risk">
      <formula>LEFT(A109,LEN("Functioning At Risk"))="Functioning At Risk"</formula>
    </cfRule>
    <cfRule type="beginsWith" dxfId="4" priority="5" stopIfTrue="1" operator="beginsWith" text="Not Functioning">
      <formula>LEFT(A109,LEN("Not Functioning"))="Not Functioning"</formula>
    </cfRule>
    <cfRule type="containsText" dxfId="3" priority="6" operator="containsText" text="Functioning">
      <formula>NOT(ISERROR(SEARCH("Functioning",A109)))</formula>
    </cfRule>
  </conditionalFormatting>
  <conditionalFormatting sqref="A123">
    <cfRule type="beginsWith" dxfId="2" priority="1" stopIfTrue="1" operator="beginsWith" text="Functioning At Risk">
      <formula>LEFT(A123,LEN("Functioning At Risk"))="Functioning At Risk"</formula>
    </cfRule>
    <cfRule type="beginsWith" dxfId="1" priority="2" stopIfTrue="1" operator="beginsWith" text="Not Functioning">
      <formula>LEFT(A123,LEN("Not Functioning"))="Not Functioning"</formula>
    </cfRule>
    <cfRule type="containsText" dxfId="0" priority="3" operator="containsText" text="Functioning">
      <formula>NOT(ISERROR(SEARCH("Functioning",A123)))</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80292F858FC34B896D163C2EB0D27C" ma:contentTypeVersion="14" ma:contentTypeDescription="Create a new document." ma:contentTypeScope="" ma:versionID="2e51307644a893d65a8f31d67f0d6682">
  <xsd:schema xmlns:xsd="http://www.w3.org/2001/XMLSchema" xmlns:xs="http://www.w3.org/2001/XMLSchema" xmlns:p="http://schemas.microsoft.com/office/2006/metadata/properties" xmlns:ns2="6eac20ca-cc30-4753-878e-8b5e70ffbace" xmlns:ns3="f5ede620-4329-476e-8286-bea3cbac1b2d" targetNamespace="http://schemas.microsoft.com/office/2006/metadata/properties" ma:root="true" ma:fieldsID="0bfba7f5de5cb08008cbf58dd6c582ae" ns2:_="" ns3:_="">
    <xsd:import namespace="6eac20ca-cc30-4753-878e-8b5e70ffbace"/>
    <xsd:import namespace="f5ede620-4329-476e-8286-bea3cbac1b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c20ca-cc30-4753-878e-8b5e70ffb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ede620-4329-476e-8286-bea3cbac1b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eac20ca-cc30-4753-878e-8b5e70ffbace" xsi:nil="true"/>
  </documentManagement>
</p:properties>
</file>

<file path=customXml/itemProps1.xml><?xml version="1.0" encoding="utf-8"?>
<ds:datastoreItem xmlns:ds="http://schemas.openxmlformats.org/officeDocument/2006/customXml" ds:itemID="{3071FEB6-F6AA-4AD8-84EE-6A77A65D949E}"/>
</file>

<file path=customXml/itemProps2.xml><?xml version="1.0" encoding="utf-8"?>
<ds:datastoreItem xmlns:ds="http://schemas.openxmlformats.org/officeDocument/2006/customXml" ds:itemID="{5D0B6323-7C41-4D31-BF68-61D5CC18C4C4}"/>
</file>

<file path=customXml/itemProps3.xml><?xml version="1.0" encoding="utf-8"?>
<ds:datastoreItem xmlns:ds="http://schemas.openxmlformats.org/officeDocument/2006/customXml" ds:itemID="{F8412452-9199-4C14-BC12-97F285D95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Assessment</vt:lpstr>
      <vt:lpstr>Catchment Assessment</vt:lpstr>
      <vt:lpstr>Parameter Selection Guide</vt:lpstr>
      <vt:lpstr>Quantification Tool</vt:lpstr>
      <vt:lpstr>Monitoring Data</vt:lpstr>
      <vt:lpstr>Data Summary</vt:lpstr>
      <vt:lpstr>Reference Standards</vt:lpstr>
      <vt:lpstr>Pull Down Notes</vt:lpstr>
      <vt:lpstr>BedMaterial</vt:lpstr>
      <vt:lpstr>BEHI.NBS</vt:lpstr>
      <vt:lpstr>CatchmentAssessment</vt:lpstr>
      <vt:lpstr>Flow.Type</vt:lpstr>
      <vt:lpstr>Level</vt:lpstr>
      <vt:lpstr>'Catchment Assessment'!Print_Area</vt:lpstr>
      <vt:lpstr>'Monitoring Data'!Print_Area</vt:lpstr>
      <vt:lpstr>'Project Assessment'!Print_Area</vt:lpstr>
      <vt:lpstr>'Quantification Tool'!Print_Area</vt:lpstr>
      <vt:lpstr>ProgramGoals</vt:lpstr>
      <vt:lpstr>Region</vt:lpstr>
      <vt:lpstr>StreamType</vt:lpstr>
      <vt:lpstr>WaterTypes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cjones</cp:lastModifiedBy>
  <cp:lastPrinted>2020-12-18T16:20:13Z</cp:lastPrinted>
  <dcterms:created xsi:type="dcterms:W3CDTF">2014-08-22T20:36:47Z</dcterms:created>
  <dcterms:modified xsi:type="dcterms:W3CDTF">2020-12-23T20:20:48Z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0x0101005D80292F858FC34B896D163C2EB0D27C</vt:lpwstr>
  </property>
</Properties>
</file>